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807B39C7-5E38-4323-A350-966769F7E7BD}" xr6:coauthVersionLast="47" xr6:coauthVersionMax="47" xr10:uidLastSave="{00000000-0000-0000-0000-000000000000}"/>
  <bookViews>
    <workbookView xWindow="28680" yWindow="-120" windowWidth="29040" windowHeight="15840" activeTab="2"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0"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0"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0"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0"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0"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0"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0"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0"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0"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0"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0"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0"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0"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0"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0"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0"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0"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0"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0"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0"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0"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0"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0"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0"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0"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0"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0"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0"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0"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0"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0"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0"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0"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<sst xmlns="http://schemas.openxmlformats.org/spreadsheetml/2006/main" count="6470" uniqueCount="2378">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</sst>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61">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fmlaLink="$AP$57"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6683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09950"/>
              <a:ext cx="180975" cy="25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51875"/>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3837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434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577787"/>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3994725"/>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31475"/>
              <a:ext cx="180975" cy="296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36600"/>
              <a:ext cx="180975" cy="316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60800"/>
              <a:ext cx="180975"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79575" y="267595"/>
          <a:ext cx="4561940"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0995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198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198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260350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298450</xdr:rowOff>
        </xdr:from>
        <xdr:to>
          <xdr:col>6</xdr:col>
          <xdr:colOff>0</xdr:colOff>
          <xdr:row>159</xdr:row>
          <xdr:rowOff>31750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146050</xdr:rowOff>
        </xdr:from>
        <xdr:to>
          <xdr:col>6</xdr:col>
          <xdr:colOff>0</xdr:colOff>
          <xdr:row>165</xdr:row>
          <xdr:rowOff>31750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31750</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260350</xdr:rowOff>
        </xdr:from>
        <xdr:to>
          <xdr:col>6</xdr:col>
          <xdr:colOff>0</xdr:colOff>
          <xdr:row>168</xdr:row>
          <xdr:rowOff>31750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146050</xdr:rowOff>
        </xdr:from>
        <xdr:to>
          <xdr:col>6</xdr:col>
          <xdr:colOff>0</xdr:colOff>
          <xdr:row>171</xdr:row>
          <xdr:rowOff>31750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31750</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260350</xdr:rowOff>
        </xdr:from>
        <xdr:to>
          <xdr:col>6</xdr:col>
          <xdr:colOff>0</xdr:colOff>
          <xdr:row>173</xdr:row>
          <xdr:rowOff>31750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146050</xdr:rowOff>
        </xdr:from>
        <xdr:to>
          <xdr:col>6</xdr:col>
          <xdr:colOff>0</xdr:colOff>
          <xdr:row>178</xdr:row>
          <xdr:rowOff>31750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50800</xdr:rowOff>
        </xdr:from>
        <xdr:to>
          <xdr:col>6</xdr:col>
          <xdr:colOff>12700</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182</xdr:row>
          <xdr:rowOff>12700</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50800</xdr:rowOff>
        </xdr:from>
        <xdr:to>
          <xdr:col>1</xdr:col>
          <xdr:colOff>222250</xdr:colOff>
          <xdr:row>187</xdr:row>
          <xdr:rowOff>260350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107950</xdr:rowOff>
        </xdr:from>
        <xdr:to>
          <xdr:col>1</xdr:col>
          <xdr:colOff>222250</xdr:colOff>
          <xdr:row>189</xdr:row>
          <xdr:rowOff>336550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191</xdr:row>
          <xdr:rowOff>19050</xdr:rowOff>
        </xdr:from>
        <xdr:to>
          <xdr:col>1</xdr:col>
          <xdr:colOff>222250</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191</xdr:row>
          <xdr:rowOff>266700</xdr:rowOff>
        </xdr:from>
        <xdr:to>
          <xdr:col>1</xdr:col>
          <xdr:colOff>222250</xdr:colOff>
          <xdr:row>193</xdr:row>
          <xdr:rowOff>31750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146050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135</xdr:row>
          <xdr:rowOff>165100</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31750</xdr:rowOff>
        </xdr:from>
        <xdr:to>
          <xdr:col>2</xdr:col>
          <xdr:colOff>171450</xdr:colOff>
          <xdr:row>137</xdr:row>
          <xdr:rowOff>317500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298450</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6851" cy="38105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6925" y="4295775"/>
              <a:ext cx="304800" cy="419100"/>
              <a:chOff x="4501773" y="3772513"/>
              <a:chExt cx="303832" cy="486941"/>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3"/>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64100"/>
              <a:ext cx="304800" cy="717550"/>
              <a:chOff x="4479758" y="4496228"/>
              <a:chExt cx="301792" cy="780136"/>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2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37223"/>
              <a:ext cx="304800" cy="694915"/>
              <a:chOff x="4549825" y="5456633"/>
              <a:chExt cx="308371" cy="762865"/>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33"/>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66007"/>
              <a:ext cx="304800" cy="377825"/>
              <a:chOff x="5763126" y="8931865"/>
              <a:chExt cx="301792" cy="494880"/>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6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97650"/>
              <a:ext cx="304800" cy="688975"/>
              <a:chOff x="4549825" y="6438935"/>
              <a:chExt cx="308371" cy="779283"/>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35"/>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8974" y="8277950"/>
              <a:ext cx="214227" cy="707290"/>
              <a:chOff x="5767550" y="8168727"/>
              <a:chExt cx="217640" cy="792420"/>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18" y="816872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50" y="872302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3815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30875"/>
              <a:ext cx="304800" cy="717550"/>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30826"/>
              <a:ext cx="232948" cy="722969"/>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12431" y="8270577"/>
              <a:ext cx="197073" cy="760597"/>
              <a:chOff x="4539014" y="8166048"/>
              <a:chExt cx="208638" cy="749755"/>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44" y="8166048"/>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9014" y="8640688"/>
                <a:ext cx="186518"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3742" y="7411425"/>
              <a:ext cx="304802" cy="730030"/>
              <a:chOff x="5809589" y="7290638"/>
              <a:chExt cx="301595" cy="707475"/>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7680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97650"/>
              <a:ext cx="304800" cy="688975"/>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6925" y="4295775"/>
              <a:ext cx="304800" cy="419100"/>
              <a:chOff x="4501773" y="3772513"/>
              <a:chExt cx="303832" cy="486941"/>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3"/>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64100"/>
              <a:ext cx="304800" cy="717550"/>
              <a:chOff x="4479758" y="4496228"/>
              <a:chExt cx="301792" cy="780136"/>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2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37223"/>
              <a:ext cx="304800" cy="694915"/>
              <a:chOff x="4549825" y="5456633"/>
              <a:chExt cx="308371" cy="762865"/>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33"/>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66007"/>
              <a:ext cx="304800" cy="377825"/>
              <a:chOff x="5763126" y="8931865"/>
              <a:chExt cx="301792" cy="494880"/>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6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97650"/>
              <a:ext cx="304800" cy="688975"/>
              <a:chOff x="4549825" y="6438935"/>
              <a:chExt cx="308371" cy="779283"/>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35"/>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8974" y="8277950"/>
              <a:ext cx="214227" cy="707290"/>
              <a:chOff x="5767550" y="8168727"/>
              <a:chExt cx="217640" cy="792420"/>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18" y="816872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50" y="872302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3815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30875"/>
              <a:ext cx="304800" cy="717550"/>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30826"/>
              <a:ext cx="232948" cy="722969"/>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12431" y="8270577"/>
              <a:ext cx="197073" cy="760597"/>
              <a:chOff x="4539014" y="8166048"/>
              <a:chExt cx="208638" cy="749755"/>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44" y="8166048"/>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9014" y="8640688"/>
                <a:ext cx="186518"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3742" y="7411425"/>
              <a:ext cx="304802" cy="730030"/>
              <a:chOff x="5809589" y="7290638"/>
              <a:chExt cx="301595" cy="707475"/>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7680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97650"/>
              <a:ext cx="304800" cy="688975"/>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06925" y="4295775"/>
              <a:ext cx="304800" cy="419100"/>
              <a:chOff x="4501773" y="3772513"/>
              <a:chExt cx="303832" cy="486941"/>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3"/>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64100"/>
              <a:ext cx="304800" cy="714375"/>
              <a:chOff x="4479758" y="4496231"/>
              <a:chExt cx="301792" cy="780129"/>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37223"/>
              <a:ext cx="304800" cy="694915"/>
              <a:chOff x="4549825" y="5456633"/>
              <a:chExt cx="308371" cy="762865"/>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3"/>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30875"/>
          <a:ext cx="304800" cy="717550"/>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66007"/>
              <a:ext cx="304800" cy="377825"/>
              <a:chOff x="5763126" y="8931865"/>
              <a:chExt cx="301792" cy="49488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97650"/>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78278"/>
          <a:ext cx="318458" cy="729214"/>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3912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66942"/>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99334"/>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8974" y="8277950"/>
              <a:ext cx="214227" cy="707290"/>
              <a:chOff x="5767550" y="8168727"/>
              <a:chExt cx="217640" cy="792420"/>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8" y="816872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50" y="872302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77225"/>
          <a:ext cx="311150" cy="504825"/>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3815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73716"/>
          <a:ext cx="304800" cy="695779"/>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30875"/>
              <a:ext cx="304800" cy="717550"/>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97650"/>
          <a:ext cx="304800" cy="6889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30798"/>
          <a:ext cx="242549" cy="72307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27651"/>
              <a:ext cx="232948" cy="72614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77225"/>
          <a:ext cx="311150" cy="504825"/>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12431" y="8270577"/>
              <a:ext cx="197073" cy="760597"/>
              <a:chOff x="4539014" y="8166048"/>
              <a:chExt cx="208638" cy="749755"/>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4" y="8166048"/>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9014" y="8640688"/>
                <a:ext cx="186518"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3742" y="7411425"/>
              <a:ext cx="304802" cy="730030"/>
              <a:chOff x="5809589" y="7290638"/>
              <a:chExt cx="301595" cy="707475"/>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533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7680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97650"/>
              <a:ext cx="304800" cy="6889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06925" y="4295775"/>
              <a:ext cx="304800" cy="419100"/>
              <a:chOff x="4501773" y="3772513"/>
              <a:chExt cx="303832" cy="486941"/>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3"/>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64100"/>
              <a:ext cx="304800" cy="717550"/>
              <a:chOff x="4479758" y="4496228"/>
              <a:chExt cx="301792" cy="780136"/>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2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37223"/>
              <a:ext cx="304800" cy="694915"/>
              <a:chOff x="4549825" y="5456633"/>
              <a:chExt cx="308371" cy="762865"/>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33"/>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66007"/>
              <a:ext cx="304800" cy="377825"/>
              <a:chOff x="5763126" y="8931865"/>
              <a:chExt cx="301792" cy="494880"/>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6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97650"/>
              <a:ext cx="304800" cy="688975"/>
              <a:chOff x="4549825" y="6438935"/>
              <a:chExt cx="308371" cy="779283"/>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35"/>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8974" y="8277950"/>
              <a:ext cx="214227" cy="707290"/>
              <a:chOff x="5767550" y="8168727"/>
              <a:chExt cx="217640" cy="792420"/>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18" y="816872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50" y="872302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3815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30875"/>
              <a:ext cx="304800" cy="717550"/>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30826"/>
              <a:ext cx="232948" cy="722969"/>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12431" y="8270577"/>
              <a:ext cx="197073" cy="760597"/>
              <a:chOff x="4539014" y="8166048"/>
              <a:chExt cx="208638" cy="749755"/>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44" y="8166048"/>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9014" y="8640688"/>
                <a:ext cx="186518"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3742" y="7411425"/>
              <a:ext cx="304802" cy="730030"/>
              <a:chOff x="5809589" y="7290638"/>
              <a:chExt cx="301595" cy="707475"/>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199203" y="325284"/>
          <a:ext cx="9195312"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7680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97650"/>
              <a:ext cx="304800" cy="688975"/>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06925" y="4295775"/>
              <a:ext cx="304800" cy="419100"/>
              <a:chOff x="4501773" y="3772513"/>
              <a:chExt cx="303832" cy="486941"/>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3"/>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64100"/>
              <a:ext cx="304800" cy="717550"/>
              <a:chOff x="4479758" y="4496228"/>
              <a:chExt cx="301792" cy="780136"/>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2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37223"/>
              <a:ext cx="304800" cy="694915"/>
              <a:chOff x="4549825" y="5456633"/>
              <a:chExt cx="308371" cy="762865"/>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33"/>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66007"/>
              <a:ext cx="304800" cy="377825"/>
              <a:chOff x="5763126" y="8931865"/>
              <a:chExt cx="301792" cy="494880"/>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6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97650"/>
              <a:ext cx="304800" cy="688975"/>
              <a:chOff x="4549825" y="6438935"/>
              <a:chExt cx="308371" cy="779283"/>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35"/>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8974" y="8277950"/>
              <a:ext cx="214227" cy="707290"/>
              <a:chOff x="5767550" y="8168727"/>
              <a:chExt cx="217640" cy="792420"/>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18" y="816872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50" y="872302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3815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30875"/>
              <a:ext cx="304800" cy="717550"/>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30826"/>
              <a:ext cx="232948" cy="722969"/>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12431" y="8270577"/>
              <a:ext cx="197073" cy="760597"/>
              <a:chOff x="4539014" y="8166048"/>
              <a:chExt cx="208638" cy="749755"/>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44" y="8166048"/>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9014" y="8640688"/>
                <a:ext cx="186518"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3742" y="7411425"/>
              <a:ext cx="304802" cy="730030"/>
              <a:chOff x="5809589" y="7290638"/>
              <a:chExt cx="301595" cy="707475"/>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7680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97650"/>
              <a:ext cx="304800" cy="688975"/>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06925" y="4295775"/>
              <a:ext cx="304800" cy="419100"/>
              <a:chOff x="4501773" y="3772513"/>
              <a:chExt cx="303832" cy="486941"/>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3"/>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64100"/>
              <a:ext cx="304800" cy="717550"/>
              <a:chOff x="4479758" y="4496228"/>
              <a:chExt cx="301792" cy="780136"/>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2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37223"/>
              <a:ext cx="304800" cy="694915"/>
              <a:chOff x="4549825" y="5456633"/>
              <a:chExt cx="308371" cy="762865"/>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33"/>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66007"/>
              <a:ext cx="304800" cy="377825"/>
              <a:chOff x="5763126" y="8931865"/>
              <a:chExt cx="301792" cy="494880"/>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6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97650"/>
              <a:ext cx="304800" cy="688975"/>
              <a:chOff x="4549825" y="6438935"/>
              <a:chExt cx="308371" cy="779283"/>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35"/>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8974" y="8277950"/>
              <a:ext cx="214227" cy="707290"/>
              <a:chOff x="5767550" y="8168727"/>
              <a:chExt cx="217640" cy="792420"/>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18" y="816872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50" y="872302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3815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30875"/>
              <a:ext cx="304800" cy="717550"/>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30826"/>
              <a:ext cx="232948" cy="722969"/>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12431" y="8270577"/>
              <a:ext cx="197073" cy="760597"/>
              <a:chOff x="4539014" y="8166048"/>
              <a:chExt cx="208638" cy="749755"/>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44" y="8166048"/>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9014" y="8640688"/>
                <a:ext cx="186518"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3742" y="7411425"/>
              <a:ext cx="304802" cy="730030"/>
              <a:chOff x="5809589" y="7290638"/>
              <a:chExt cx="301595" cy="707475"/>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7680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97650"/>
              <a:ext cx="304800" cy="688975"/>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1910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87875" y="4864100"/>
              <a:ext cx="304800" cy="717550"/>
              <a:chOff x="4470327" y="4496267"/>
              <a:chExt cx="301792" cy="780099"/>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4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87876" y="5737222"/>
              <a:ext cx="304806" cy="692151"/>
              <a:chOff x="4540192" y="5456616"/>
              <a:chExt cx="308373" cy="759893"/>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6"/>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17"/>
                <a:ext cx="308371" cy="2185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127000</xdr:colOff>
          <xdr:row>43</xdr:row>
          <xdr:rowOff>0</xdr:rowOff>
        </xdr:from>
        <xdr:to>
          <xdr:col>29</xdr:col>
          <xdr:colOff>95250</xdr:colOff>
          <xdr:row>44</xdr:row>
          <xdr:rowOff>31750</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127000</xdr:colOff>
          <xdr:row>44</xdr:row>
          <xdr:rowOff>0</xdr:rowOff>
        </xdr:from>
        <xdr:to>
          <xdr:col>29</xdr:col>
          <xdr:colOff>95250</xdr:colOff>
          <xdr:row>45</xdr:row>
          <xdr:rowOff>12700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59475" y="9163055"/>
              <a:ext cx="304800" cy="377820"/>
              <a:chOff x="5753695" y="8927978"/>
              <a:chExt cx="301792" cy="494777"/>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8"/>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9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12700</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22</xdr:row>
          <xdr:rowOff>133350</xdr:rowOff>
        </xdr:from>
        <xdr:to>
          <xdr:col>30</xdr:col>
          <xdr:colOff>50800</xdr:colOff>
          <xdr:row>27</xdr:row>
          <xdr:rowOff>31750</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26</xdr:row>
          <xdr:rowOff>107950</xdr:rowOff>
        </xdr:from>
        <xdr:to>
          <xdr:col>30</xdr:col>
          <xdr:colOff>50800</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30</xdr:row>
          <xdr:rowOff>127000</xdr:rowOff>
        </xdr:from>
        <xdr:to>
          <xdr:col>30</xdr:col>
          <xdr:colOff>50800</xdr:colOff>
          <xdr:row>34</xdr:row>
          <xdr:rowOff>50800</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87876" y="6597650"/>
              <a:ext cx="304806" cy="688975"/>
              <a:chOff x="4540192" y="6438966"/>
              <a:chExt cx="308373" cy="779240"/>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66"/>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165100</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88900</xdr:rowOff>
        </xdr:from>
        <xdr:to>
          <xdr:col>29</xdr:col>
          <xdr:colOff>146050</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26</xdr:row>
          <xdr:rowOff>133350</xdr:rowOff>
        </xdr:from>
        <xdr:to>
          <xdr:col>38</xdr:col>
          <xdr:colOff>69850</xdr:colOff>
          <xdr:row>31</xdr:row>
          <xdr:rowOff>31750</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30</xdr:row>
          <xdr:rowOff>114300</xdr:rowOff>
        </xdr:from>
        <xdr:to>
          <xdr:col>39</xdr:col>
          <xdr:colOff>38100</xdr:colOff>
          <xdr:row>34</xdr:row>
          <xdr:rowOff>12700</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107950</xdr:colOff>
          <xdr:row>33</xdr:row>
          <xdr:rowOff>184150</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107950</xdr:rowOff>
        </xdr:from>
        <xdr:to>
          <xdr:col>38</xdr:col>
          <xdr:colOff>152400</xdr:colOff>
          <xdr:row>41</xdr:row>
          <xdr:rowOff>203200</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50800</xdr:colOff>
          <xdr:row>43</xdr:row>
          <xdr:rowOff>0</xdr:rowOff>
        </xdr:from>
        <xdr:to>
          <xdr:col>38</xdr:col>
          <xdr:colOff>50800</xdr:colOff>
          <xdr:row>46</xdr:row>
          <xdr:rowOff>127000</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31750</xdr:colOff>
          <xdr:row>20</xdr:row>
          <xdr:rowOff>0</xdr:rowOff>
        </xdr:from>
        <xdr:to>
          <xdr:col>30</xdr:col>
          <xdr:colOff>38100</xdr:colOff>
          <xdr:row>23</xdr:row>
          <xdr:rowOff>88900</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50800</xdr:colOff>
          <xdr:row>20</xdr:row>
          <xdr:rowOff>0</xdr:rowOff>
        </xdr:from>
        <xdr:to>
          <xdr:col>38</xdr:col>
          <xdr:colOff>57150</xdr:colOff>
          <xdr:row>23</xdr:row>
          <xdr:rowOff>88900</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50800</xdr:colOff>
          <xdr:row>27</xdr:row>
          <xdr:rowOff>50800</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5819" y="8277230"/>
              <a:ext cx="228603" cy="701675"/>
              <a:chOff x="5754593" y="8167905"/>
              <a:chExt cx="225515" cy="793307"/>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19" y="8167905"/>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3" y="8722141"/>
                <a:ext cx="21609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5822" y="4279899"/>
              <a:ext cx="304800" cy="435061"/>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59506" y="5730875"/>
              <a:ext cx="304800" cy="717550"/>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87907" y="7432654"/>
              <a:ext cx="228601" cy="720822"/>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67699"/>
              <a:ext cx="203200" cy="758831"/>
              <a:chOff x="4529985" y="8163187"/>
              <a:chExt cx="208417" cy="748032"/>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85" y="8163187"/>
                <a:ext cx="208417" cy="239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89" y="8642701"/>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38</xdr:row>
          <xdr:rowOff>69850</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413618"/>
              <a:ext cx="304806" cy="733429"/>
              <a:chOff x="5801271" y="7286497"/>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1" y="728649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77" y="775093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59506" y="487680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59506" y="6597650"/>
              <a:ext cx="304800" cy="688975"/>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6925" y="4295775"/>
              <a:ext cx="304800" cy="419100"/>
              <a:chOff x="4501773" y="3772513"/>
              <a:chExt cx="303832" cy="486941"/>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3"/>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64100"/>
              <a:ext cx="304800" cy="717550"/>
              <a:chOff x="4479758" y="4496228"/>
              <a:chExt cx="301792" cy="780136"/>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2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37223"/>
              <a:ext cx="304800" cy="694915"/>
              <a:chOff x="4549825" y="5456633"/>
              <a:chExt cx="308371" cy="762865"/>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33"/>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66007"/>
              <a:ext cx="304800" cy="377825"/>
              <a:chOff x="5763126" y="8931865"/>
              <a:chExt cx="301792" cy="494880"/>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6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97650"/>
              <a:ext cx="304800" cy="688975"/>
              <a:chOff x="4549825" y="6438935"/>
              <a:chExt cx="308371" cy="779283"/>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35"/>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8974" y="8277950"/>
              <a:ext cx="214227" cy="707290"/>
              <a:chOff x="5767550" y="8168727"/>
              <a:chExt cx="217640" cy="792420"/>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18" y="816872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50" y="872302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3815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30875"/>
              <a:ext cx="304800" cy="717550"/>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30826"/>
              <a:ext cx="232948" cy="722969"/>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12431" y="8270577"/>
              <a:ext cx="197073" cy="760597"/>
              <a:chOff x="4539014" y="8166048"/>
              <a:chExt cx="208638" cy="749755"/>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44" y="8166048"/>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9014" y="8640688"/>
                <a:ext cx="186518"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3742" y="7411425"/>
              <a:ext cx="304802" cy="730030"/>
              <a:chOff x="5809589" y="7290638"/>
              <a:chExt cx="301595" cy="707475"/>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7680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97650"/>
              <a:ext cx="304800" cy="688975"/>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6925" y="4295775"/>
              <a:ext cx="304800" cy="419100"/>
              <a:chOff x="4501773" y="3772513"/>
              <a:chExt cx="303832" cy="486941"/>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3"/>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64100"/>
              <a:ext cx="304800" cy="717550"/>
              <a:chOff x="4479758" y="4496228"/>
              <a:chExt cx="301792" cy="780136"/>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2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37223"/>
              <a:ext cx="304800" cy="694915"/>
              <a:chOff x="4549825" y="5456633"/>
              <a:chExt cx="308371" cy="762865"/>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33"/>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66007"/>
              <a:ext cx="304800" cy="377825"/>
              <a:chOff x="5763126" y="8931865"/>
              <a:chExt cx="301792" cy="494880"/>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6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97650"/>
              <a:ext cx="304800" cy="688975"/>
              <a:chOff x="4549825" y="6438935"/>
              <a:chExt cx="308371" cy="779283"/>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35"/>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8974" y="8277950"/>
              <a:ext cx="214227" cy="707290"/>
              <a:chOff x="5767550" y="8168727"/>
              <a:chExt cx="217640" cy="792420"/>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18" y="816872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50" y="872302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3815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30875"/>
              <a:ext cx="304800" cy="717550"/>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30826"/>
              <a:ext cx="232948" cy="722969"/>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12431" y="8270577"/>
              <a:ext cx="197073" cy="760597"/>
              <a:chOff x="4539014" y="8166048"/>
              <a:chExt cx="208638" cy="749755"/>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44" y="8166048"/>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9014" y="8640688"/>
                <a:ext cx="186518"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3742" y="7411425"/>
              <a:ext cx="304802" cy="730030"/>
              <a:chOff x="5809589" y="7290638"/>
              <a:chExt cx="301595" cy="707475"/>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7680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97650"/>
              <a:ext cx="304800" cy="688975"/>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6925" y="4295775"/>
              <a:ext cx="304800" cy="419100"/>
              <a:chOff x="4501773" y="3772513"/>
              <a:chExt cx="303832" cy="486941"/>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3"/>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64100"/>
              <a:ext cx="304800" cy="717550"/>
              <a:chOff x="4479758" y="4496228"/>
              <a:chExt cx="301792" cy="780136"/>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2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37223"/>
              <a:ext cx="304800" cy="694915"/>
              <a:chOff x="4549825" y="5456633"/>
              <a:chExt cx="308371" cy="762865"/>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33"/>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30875"/>
          <a:ext cx="304800" cy="71755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66007"/>
              <a:ext cx="304800" cy="377825"/>
              <a:chOff x="5763126" y="8931865"/>
              <a:chExt cx="301792" cy="494880"/>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6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50800</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97650"/>
              <a:ext cx="304800" cy="688975"/>
              <a:chOff x="4549825" y="6438935"/>
              <a:chExt cx="308371" cy="779283"/>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35"/>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12700</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127000</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78278"/>
          <a:ext cx="318458" cy="729214"/>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3912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66942"/>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99334"/>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8974" y="8277950"/>
              <a:ext cx="214227" cy="707290"/>
              <a:chOff x="5767550" y="8168727"/>
              <a:chExt cx="217640" cy="792420"/>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18" y="816872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50" y="872302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77225"/>
          <a:ext cx="311150" cy="504825"/>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3815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73716"/>
          <a:ext cx="304800" cy="695779"/>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30875"/>
              <a:ext cx="304800" cy="717550"/>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97650"/>
          <a:ext cx="304800" cy="68897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1239" y="1787633"/>
              <a:ext cx="0" cy="0"/>
              <a:chOff x="-31239" y="178763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30798"/>
          <a:ext cx="242549" cy="72307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30826"/>
              <a:ext cx="232948" cy="722969"/>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77225"/>
          <a:ext cx="311150" cy="504825"/>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77225"/>
              <a:ext cx="323850" cy="73025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12431" y="8270577"/>
              <a:ext cx="197073" cy="760597"/>
              <a:chOff x="4539014" y="8166048"/>
              <a:chExt cx="208638" cy="749755"/>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44" y="8166048"/>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9014" y="8640688"/>
                <a:ext cx="186518"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3742" y="7411425"/>
              <a:ext cx="304802" cy="730030"/>
              <a:chOff x="5809589" y="7290638"/>
              <a:chExt cx="301595" cy="707475"/>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5333"/>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7680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97650"/>
              <a:ext cx="304800" cy="688975"/>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view="pageBreakPreview" zoomScaleNormal="120" zoomScaleSheetLayoutView="100" zoomScalePageLayoutView="64" workbookViewId="0">
      <selection activeCell="L13" sqref="L13:U13"/>
    </sheetView>
  </sheetViews>
  <sheetFormatPr defaultColWidth="9" defaultRowHeight="13"/>
  <cols>
    <col min="1" max="1" width="2.08203125" style="157" customWidth="1"/>
    <col min="2" max="2" width="3.08203125" style="157" customWidth="1"/>
    <col min="3" max="7" width="2.58203125" style="157" customWidth="1"/>
    <col min="8" max="27" width="2.5" style="157" customWidth="1"/>
    <col min="28" max="28" width="3.5" style="157" customWidth="1"/>
    <col min="29" max="36" width="2.5" style="157" customWidth="1"/>
    <col min="37" max="37" width="2.83203125" style="157" customWidth="1"/>
    <col min="38" max="38" width="2.5" style="157" customWidth="1"/>
    <col min="39" max="39" width="6.83203125" style="157" customWidth="1"/>
    <col min="40" max="43" width="5.33203125" style="157" customWidth="1"/>
    <col min="44" max="44" width="7.33203125" style="157" customWidth="1"/>
    <col min="45" max="52" width="5.33203125" style="157" customWidth="1"/>
    <col min="53" max="55" width="5.5" style="157" customWidth="1"/>
    <col min="56" max="56" width="5.83203125" style="157" customWidth="1"/>
    <col min="57" max="57" width="6" style="157" customWidth="1"/>
    <col min="58" max="58" width="5.58203125" style="157" customWidth="1"/>
    <col min="59" max="67" width="4.08203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2204</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5" t="s">
        <v>2018</v>
      </c>
      <c r="C8" s="976"/>
      <c r="D8" s="976"/>
      <c r="E8" s="976"/>
      <c r="F8" s="976"/>
      <c r="G8" s="977"/>
      <c r="H8" s="166" t="s">
        <v>2182</v>
      </c>
      <c r="I8" s="540"/>
      <c r="J8" s="540"/>
      <c r="K8" s="167" t="s">
        <v>2184</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8"/>
      <c r="I9" s="979"/>
      <c r="J9" s="979"/>
      <c r="K9" s="979"/>
      <c r="L9" s="979"/>
      <c r="M9" s="979"/>
      <c r="N9" s="979"/>
      <c r="O9" s="979"/>
      <c r="P9" s="979"/>
      <c r="Q9" s="979"/>
      <c r="R9" s="979"/>
      <c r="S9" s="979"/>
      <c r="T9" s="979"/>
      <c r="U9" s="979"/>
      <c r="V9" s="979"/>
      <c r="W9" s="979"/>
      <c r="X9" s="979"/>
      <c r="Y9" s="979"/>
      <c r="Z9" s="979"/>
      <c r="AA9" s="979"/>
      <c r="AB9" s="979"/>
      <c r="AC9" s="979"/>
      <c r="AD9" s="979"/>
      <c r="AE9" s="979"/>
      <c r="AF9" s="979"/>
      <c r="AG9" s="979"/>
      <c r="AH9" s="979"/>
      <c r="AI9" s="979"/>
      <c r="AJ9" s="979"/>
      <c r="AK9" s="980"/>
      <c r="AL9" s="164"/>
    </row>
    <row r="10" spans="1:39" s="165" customFormat="1" ht="16.5" customHeight="1">
      <c r="A10" s="164"/>
      <c r="B10" s="960"/>
      <c r="C10" s="961"/>
      <c r="D10" s="961"/>
      <c r="E10" s="961"/>
      <c r="F10" s="961"/>
      <c r="G10" s="962"/>
      <c r="H10" s="981"/>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2" t="s">
        <v>21</v>
      </c>
      <c r="C11" s="983"/>
      <c r="D11" s="983"/>
      <c r="E11" s="983"/>
      <c r="F11" s="983"/>
      <c r="G11" s="984"/>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2183</v>
      </c>
      <c r="W13" s="971"/>
      <c r="X13" s="971"/>
      <c r="Y13" s="966"/>
      <c r="Z13" s="972"/>
      <c r="AA13" s="973"/>
      <c r="AB13" s="973"/>
      <c r="AC13" s="973"/>
      <c r="AD13" s="973"/>
      <c r="AE13" s="973"/>
      <c r="AF13" s="973"/>
      <c r="AG13" s="973"/>
      <c r="AH13" s="973"/>
      <c r="AI13" s="973"/>
      <c r="AJ13" s="973"/>
      <c r="AK13" s="974"/>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5"/>
      <c r="R24" s="985"/>
      <c r="S24" s="985"/>
      <c r="T24" s="985"/>
      <c r="U24" s="985"/>
      <c r="V24" s="985"/>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2194</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2207</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2231</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2233</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2340</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3.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3.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2208</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2228</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2341</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2342</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2210</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2209</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3.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3.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2227</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2213</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2212</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2218</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2211</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2217</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2216</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2215</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2214</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2219</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2220</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4.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2236</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2221</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2226</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2225</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2224</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2223</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2222</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260350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298450</xdr:rowOff>
                  </from>
                  <to>
                    <xdr:col>6</xdr:col>
                    <xdr:colOff>0</xdr:colOff>
                    <xdr:row>159</xdr:row>
                    <xdr:rowOff>31750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146050</xdr:rowOff>
                  </from>
                  <to>
                    <xdr:col>6</xdr:col>
                    <xdr:colOff>0</xdr:colOff>
                    <xdr:row>165</xdr:row>
                    <xdr:rowOff>31750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31750</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260350</xdr:rowOff>
                  </from>
                  <to>
                    <xdr:col>6</xdr:col>
                    <xdr:colOff>0</xdr:colOff>
                    <xdr:row>168</xdr:row>
                    <xdr:rowOff>31750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146050</xdr:rowOff>
                  </from>
                  <to>
                    <xdr:col>6</xdr:col>
                    <xdr:colOff>0</xdr:colOff>
                    <xdr:row>171</xdr:row>
                    <xdr:rowOff>31750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31750</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260350</xdr:rowOff>
                  </from>
                  <to>
                    <xdr:col>6</xdr:col>
                    <xdr:colOff>0</xdr:colOff>
                    <xdr:row>173</xdr:row>
                    <xdr:rowOff>31750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146050</xdr:rowOff>
                  </from>
                  <to>
                    <xdr:col>6</xdr:col>
                    <xdr:colOff>0</xdr:colOff>
                    <xdr:row>178</xdr:row>
                    <xdr:rowOff>31750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203200</xdr:colOff>
                    <xdr:row>181</xdr:row>
                    <xdr:rowOff>50800</xdr:rowOff>
                  </from>
                  <to>
                    <xdr:col>6</xdr:col>
                    <xdr:colOff>12700</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203200</xdr:colOff>
                    <xdr:row>182</xdr:row>
                    <xdr:rowOff>12700</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12700</xdr:colOff>
                    <xdr:row>187</xdr:row>
                    <xdr:rowOff>50800</xdr:rowOff>
                  </from>
                  <to>
                    <xdr:col>1</xdr:col>
                    <xdr:colOff>222250</xdr:colOff>
                    <xdr:row>187</xdr:row>
                    <xdr:rowOff>260350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12700</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12700</xdr:colOff>
                    <xdr:row>189</xdr:row>
                    <xdr:rowOff>107950</xdr:rowOff>
                  </from>
                  <to>
                    <xdr:col>1</xdr:col>
                    <xdr:colOff>222250</xdr:colOff>
                    <xdr:row>189</xdr:row>
                    <xdr:rowOff>336550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12700</xdr:colOff>
                    <xdr:row>191</xdr:row>
                    <xdr:rowOff>19050</xdr:rowOff>
                  </from>
                  <to>
                    <xdr:col>1</xdr:col>
                    <xdr:colOff>222250</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12700</xdr:colOff>
                    <xdr:row>191</xdr:row>
                    <xdr:rowOff>266700</xdr:rowOff>
                  </from>
                  <to>
                    <xdr:col>1</xdr:col>
                    <xdr:colOff>222250</xdr:colOff>
                    <xdr:row>193</xdr:row>
                    <xdr:rowOff>31750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222250</xdr:colOff>
                    <xdr:row>134</xdr:row>
                    <xdr:rowOff>146050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222250</xdr:colOff>
                    <xdr:row>135</xdr:row>
                    <xdr:rowOff>165100</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222250</xdr:colOff>
                    <xdr:row>137</xdr:row>
                    <xdr:rowOff>31750</xdr:rowOff>
                  </from>
                  <to>
                    <xdr:col>2</xdr:col>
                    <xdr:colOff>171450</xdr:colOff>
                    <xdr:row>137</xdr:row>
                    <xdr:rowOff>317500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222250</xdr:colOff>
                    <xdr:row>137</xdr:row>
                    <xdr:rowOff>298450</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I3" sqref="I3"/>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7" t="s">
        <v>2331</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436"/>
      <c r="AR2" s="436"/>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9"/>
      <c r="Q5" s="1220"/>
      <c r="R5" s="1220"/>
      <c r="S5" s="1220"/>
      <c r="T5" s="1220"/>
      <c r="U5" s="1220"/>
      <c r="V5" s="1220"/>
      <c r="W5" s="1220"/>
      <c r="X5" s="1221"/>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218" t="str">
        <f>IFERROR(VLOOKUP(Y5,【参考】数式用!$A$5:$AB$37,MATCH(V11,【参考】数式用!$B$4:$AB$4,0)+1,FALSE),"")</f>
        <v/>
      </c>
      <c r="W12" s="1218"/>
      <c r="X12" s="1218"/>
      <c r="Y12" s="1218"/>
      <c r="Z12" s="1218"/>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434"/>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437" t="s">
        <v>2110</v>
      </c>
      <c r="F15" s="54">
        <v>4</v>
      </c>
      <c r="G15" s="437" t="s">
        <v>2111</v>
      </c>
      <c r="H15" s="1153" t="s">
        <v>2112</v>
      </c>
      <c r="I15" s="1153"/>
      <c r="J15" s="1166"/>
      <c r="K15" s="54">
        <v>7</v>
      </c>
      <c r="L15" s="437" t="s">
        <v>2110</v>
      </c>
      <c r="M15" s="54">
        <v>3</v>
      </c>
      <c r="N15" s="437" t="s">
        <v>2111</v>
      </c>
      <c r="O15" s="437" t="s">
        <v>2113</v>
      </c>
      <c r="P15" s="104">
        <f>(K15*12+M15)-(D15*12+F15)+1</f>
        <v>12</v>
      </c>
      <c r="Q15" s="1153" t="s">
        <v>2114</v>
      </c>
      <c r="R15" s="1153"/>
      <c r="S15" s="105" t="s">
        <v>69</v>
      </c>
      <c r="U15" s="434"/>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3"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49999999999999"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438"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49999999999999"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438"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438"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438"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438"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438"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438"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438"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438"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438"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438" t="str">
        <f>IFERROR(IF(G9="特定加算なし","✓",""),"")</f>
        <v/>
      </c>
      <c r="W37" s="1023" t="s">
        <v>15</v>
      </c>
      <c r="X37" s="1024"/>
      <c r="Y37" s="1024"/>
      <c r="Z37" s="1025"/>
      <c r="AA37" s="1042"/>
      <c r="AB37" s="1043"/>
      <c r="AC37" s="1172" t="s">
        <v>2175</v>
      </c>
      <c r="AD37" s="1173"/>
      <c r="AE37" s="1173"/>
      <c r="AF37" s="1173"/>
      <c r="AG37" s="1174"/>
      <c r="AH37" s="1175"/>
      <c r="AI37" s="1042"/>
      <c r="AJ37" s="1043"/>
      <c r="AK37" s="1172" t="s">
        <v>2175</v>
      </c>
      <c r="AL37" s="1173"/>
      <c r="AM37" s="1173"/>
      <c r="AN37" s="1173"/>
      <c r="AO37" s="1174"/>
      <c r="AP37" s="1175"/>
      <c r="AS37" s="999"/>
      <c r="AT37" s="1000"/>
      <c r="AU37" s="1000"/>
      <c r="AV37" s="1000"/>
      <c r="AW37" s="1000"/>
      <c r="AX37" s="1000"/>
      <c r="AY37" s="1000"/>
      <c r="AZ37" s="1000"/>
      <c r="BA37" s="1000"/>
      <c r="BB37" s="1000"/>
      <c r="BC37" s="1000"/>
      <c r="BD37" s="1000"/>
      <c r="BE37" s="1000"/>
      <c r="BF37" s="1000"/>
      <c r="BG37" s="1000"/>
      <c r="BH37" s="1001"/>
    </row>
    <row r="38" spans="2:82" ht="17.149999999999999"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438"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438"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49999999999999"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435"/>
      <c r="AB42" s="435"/>
      <c r="AC42" s="136"/>
      <c r="AD42" s="1015" t="s">
        <v>15</v>
      </c>
      <c r="AE42" s="1015"/>
      <c r="AF42" s="1015"/>
      <c r="AG42" s="1015"/>
      <c r="AH42" s="1015"/>
      <c r="AI42" s="435"/>
      <c r="AJ42" s="435"/>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438"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49999999999999"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438"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176" t="s">
        <v>2202</v>
      </c>
      <c r="AT56" s="1176"/>
      <c r="AU56" s="1176"/>
      <c r="AV56" s="1176"/>
      <c r="AW56" s="1176" t="s">
        <v>2201</v>
      </c>
      <c r="AX56" s="1176"/>
      <c r="AY56" s="1176"/>
      <c r="AZ56" s="1176"/>
    </row>
    <row r="57" spans="2:86" ht="16"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6" customHeight="1">
      <c r="U58" s="1217" t="s">
        <v>2055</v>
      </c>
      <c r="V58" s="1217"/>
      <c r="W58" s="1217"/>
      <c r="X58" s="1217"/>
      <c r="Y58" s="1217"/>
      <c r="Z58" s="539" t="str">
        <f>IF(AND(B9&lt;&gt;"処遇加算なし",F15=4),IF(V24="✓",1,IF(V25="✓",2,IF(V26="✓",3,""))),"")</f>
        <v/>
      </c>
      <c r="AA58" s="536"/>
      <c r="AB58" s="537"/>
      <c r="AC58" s="1217" t="s">
        <v>2055</v>
      </c>
      <c r="AD58" s="1217"/>
      <c r="AE58" s="1217"/>
      <c r="AF58" s="1217"/>
      <c r="AG58" s="1217"/>
      <c r="AH58" s="425">
        <f>IF(AND(F15&lt;&gt;4,F15&lt;&gt;5),0,IF(AU8="○",1,3))</f>
        <v>3</v>
      </c>
      <c r="AI58" s="537"/>
      <c r="AJ58" s="537"/>
      <c r="AK58" s="1217" t="s">
        <v>2055</v>
      </c>
      <c r="AL58" s="1217"/>
      <c r="AM58" s="1217"/>
      <c r="AN58" s="1217"/>
      <c r="AO58" s="1217"/>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6" customHeight="1">
      <c r="U59" s="1217" t="s">
        <v>2056</v>
      </c>
      <c r="V59" s="1217"/>
      <c r="W59" s="1217"/>
      <c r="X59" s="1217"/>
      <c r="Y59" s="1217"/>
      <c r="Z59" s="539" t="str">
        <f>IF(AND(B9&lt;&gt;"処遇加算なし",F15=4),IF(V28="✓",1,IF(V29="✓",2,IF(V30="✓",3,""))),"")</f>
        <v/>
      </c>
      <c r="AA59" s="536"/>
      <c r="AB59" s="537"/>
      <c r="AC59" s="1217" t="s">
        <v>2056</v>
      </c>
      <c r="AD59" s="1217"/>
      <c r="AE59" s="1217"/>
      <c r="AF59" s="1217"/>
      <c r="AG59" s="1217"/>
      <c r="AH59" s="425">
        <f>IF(AND(F15&lt;&gt;4,F15&lt;&gt;5),0,IF(AV8="○",1,3))</f>
        <v>3</v>
      </c>
      <c r="AI59" s="537"/>
      <c r="AJ59" s="537"/>
      <c r="AK59" s="1217" t="s">
        <v>2056</v>
      </c>
      <c r="AL59" s="1217"/>
      <c r="AM59" s="1217"/>
      <c r="AN59" s="1217"/>
      <c r="AO59" s="1217"/>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6" customHeight="1">
      <c r="U60" s="1217" t="s">
        <v>2057</v>
      </c>
      <c r="V60" s="1217"/>
      <c r="W60" s="1217"/>
      <c r="X60" s="1217"/>
      <c r="Y60" s="1217"/>
      <c r="Z60" s="539" t="str">
        <f>IF(AND(B9&lt;&gt;"処遇加算なし",F15=4),IF(V32="✓",1,IF(V33="✓",2,"")),"")</f>
        <v/>
      </c>
      <c r="AA60" s="536"/>
      <c r="AB60" s="537"/>
      <c r="AC60" s="1217" t="s">
        <v>2057</v>
      </c>
      <c r="AD60" s="1217"/>
      <c r="AE60" s="1217"/>
      <c r="AF60" s="1217"/>
      <c r="AG60" s="1217"/>
      <c r="AH60" s="425">
        <f>IF(AND(F15&lt;&gt;4,F15&lt;&gt;5),0,IF(AW8="○",1,3))</f>
        <v>3</v>
      </c>
      <c r="AI60" s="537"/>
      <c r="AJ60" s="537"/>
      <c r="AK60" s="1217" t="s">
        <v>2057</v>
      </c>
      <c r="AL60" s="1217"/>
      <c r="AM60" s="1217"/>
      <c r="AN60" s="1217"/>
      <c r="AO60" s="1217"/>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6" customHeight="1">
      <c r="U61" s="1217" t="s">
        <v>2058</v>
      </c>
      <c r="V61" s="1217"/>
      <c r="W61" s="1217"/>
      <c r="X61" s="1217"/>
      <c r="Y61" s="1217"/>
      <c r="Z61" s="539" t="str">
        <f>IF(AND(B9&lt;&gt;"処遇加算なし",F15=4),IF(V36="✓",1,IF(V37="✓",2,"")),"")</f>
        <v/>
      </c>
      <c r="AA61" s="536"/>
      <c r="AB61" s="537"/>
      <c r="AC61" s="1217" t="s">
        <v>2058</v>
      </c>
      <c r="AD61" s="1217"/>
      <c r="AE61" s="1217"/>
      <c r="AF61" s="1217"/>
      <c r="AG61" s="1217"/>
      <c r="AH61" s="425">
        <f>IF(AND(F15&lt;&gt;4,F15&lt;&gt;5),0,IF(AX8="○",1,2))</f>
        <v>2</v>
      </c>
      <c r="AI61" s="537"/>
      <c r="AJ61" s="537"/>
      <c r="AK61" s="1217" t="s">
        <v>2058</v>
      </c>
      <c r="AL61" s="1217"/>
      <c r="AM61" s="1217"/>
      <c r="AN61" s="1217"/>
      <c r="AO61" s="1217"/>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6" customHeight="1">
      <c r="U62" s="1217" t="s">
        <v>2059</v>
      </c>
      <c r="V62" s="1217"/>
      <c r="W62" s="1217"/>
      <c r="X62" s="1217"/>
      <c r="Y62" s="1217"/>
      <c r="Z62" s="539" t="str">
        <f>IF(AND(B9&lt;&gt;"処遇加算なし",F15=4),IF(V40="✓",1,IF(V41="✓",2,"")),"")</f>
        <v/>
      </c>
      <c r="AA62" s="536"/>
      <c r="AB62" s="537"/>
      <c r="AC62" s="1217" t="s">
        <v>2059</v>
      </c>
      <c r="AD62" s="1217"/>
      <c r="AE62" s="1217"/>
      <c r="AF62" s="1217"/>
      <c r="AG62" s="1217"/>
      <c r="AH62" s="425">
        <f>IF(AND(F15&lt;&gt;4,F15&lt;&gt;5),0,IF(AY8="○",1,2))</f>
        <v>2</v>
      </c>
      <c r="AI62" s="537"/>
      <c r="AJ62" s="537"/>
      <c r="AK62" s="1217" t="s">
        <v>2059</v>
      </c>
      <c r="AL62" s="1217"/>
      <c r="AM62" s="1217"/>
      <c r="AN62" s="1217"/>
      <c r="AO62" s="1217"/>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6"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SUM(事業所個票９!BU51)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139700</xdr:colOff>
                    <xdr:row>20</xdr:row>
                    <xdr:rowOff>19050</xdr:rowOff>
                  </from>
                  <to>
                    <xdr:col>29</xdr:col>
                    <xdr:colOff>120650</xdr:colOff>
                    <xdr:row>21</xdr:row>
                    <xdr:rowOff>12700</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139700</xdr:colOff>
                    <xdr:row>21</xdr:row>
                    <xdr:rowOff>12700</xdr:rowOff>
                  </from>
                  <to>
                    <xdr:col>29</xdr:col>
                    <xdr:colOff>120650</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6350</xdr:rowOff>
                  </from>
                  <to>
                    <xdr:col>29</xdr:col>
                    <xdr:colOff>114300</xdr:colOff>
                    <xdr:row>23</xdr:row>
                    <xdr:rowOff>222250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12700</xdr:rowOff>
                  </from>
                  <to>
                    <xdr:col>29</xdr:col>
                    <xdr:colOff>114300</xdr:colOff>
                    <xdr:row>28</xdr:row>
                    <xdr:rowOff>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12700</xdr:rowOff>
                  </from>
                  <to>
                    <xdr:col>37</xdr:col>
                    <xdr:colOff>114300</xdr:colOff>
                    <xdr:row>44</xdr:row>
                    <xdr:rowOff>177800</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6350</xdr:rowOff>
                  </from>
                  <to>
                    <xdr:col>29</xdr:col>
                    <xdr:colOff>114300</xdr:colOff>
                    <xdr:row>32</xdr:row>
                    <xdr:rowOff>25400</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254000</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139700</xdr:colOff>
                    <xdr:row>39</xdr:row>
                    <xdr:rowOff>0</xdr:rowOff>
                  </from>
                  <to>
                    <xdr:col>37</xdr:col>
                    <xdr:colOff>31750</xdr:colOff>
                    <xdr:row>39</xdr:row>
                    <xdr:rowOff>215900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139700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6350</xdr:rowOff>
                  </from>
                  <to>
                    <xdr:col>37</xdr:col>
                    <xdr:colOff>114300</xdr:colOff>
                    <xdr:row>27</xdr:row>
                    <xdr:rowOff>215900</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25400</xdr:rowOff>
                  </from>
                  <to>
                    <xdr:col>37</xdr:col>
                    <xdr:colOff>114300</xdr:colOff>
                    <xdr:row>28</xdr:row>
                    <xdr:rowOff>215900</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254000</xdr:rowOff>
                  </from>
                  <to>
                    <xdr:col>37</xdr:col>
                    <xdr:colOff>101600</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35</xdr:row>
                    <xdr:rowOff>0</xdr:rowOff>
                  </from>
                  <to>
                    <xdr:col>29</xdr:col>
                    <xdr:colOff>31750</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146050</xdr:colOff>
                    <xdr:row>40</xdr:row>
                    <xdr:rowOff>254000</xdr:rowOff>
                  </from>
                  <to>
                    <xdr:col>28</xdr:col>
                    <xdr:colOff>158750</xdr:colOff>
                    <xdr:row>42</xdr:row>
                    <xdr:rowOff>31750</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146050</xdr:colOff>
                    <xdr:row>36</xdr:row>
                    <xdr:rowOff>241300</xdr:rowOff>
                  </from>
                  <to>
                    <xdr:col>37</xdr:col>
                    <xdr:colOff>127000</xdr:colOff>
                    <xdr:row>38</xdr:row>
                    <xdr:rowOff>6350</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6350</xdr:rowOff>
                  </from>
                  <to>
                    <xdr:col>37</xdr:col>
                    <xdr:colOff>114300</xdr:colOff>
                    <xdr:row>32</xdr:row>
                    <xdr:rowOff>12700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6350</xdr:rowOff>
                  </from>
                  <to>
                    <xdr:col>37</xdr:col>
                    <xdr:colOff>101600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L2" sqref="L2"/>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7" t="s">
        <v>2332</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430"/>
      <c r="AR2" s="430"/>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9"/>
      <c r="Q5" s="1220"/>
      <c r="R5" s="1220"/>
      <c r="S5" s="1220"/>
      <c r="T5" s="1220"/>
      <c r="U5" s="1220"/>
      <c r="V5" s="1220"/>
      <c r="W5" s="1220"/>
      <c r="X5" s="1221"/>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218" t="str">
        <f>IFERROR(VLOOKUP(Y5,【参考】数式用!$A$5:$AB$37,MATCH(V11,【参考】数式用!$B$4:$AB$4,0)+1,FALSE),"")</f>
        <v/>
      </c>
      <c r="W12" s="1218"/>
      <c r="X12" s="1218"/>
      <c r="Y12" s="1218"/>
      <c r="Z12" s="1218"/>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426"/>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429" t="s">
        <v>2110</v>
      </c>
      <c r="F15" s="54">
        <v>4</v>
      </c>
      <c r="G15" s="429" t="s">
        <v>2111</v>
      </c>
      <c r="H15" s="1153" t="s">
        <v>2112</v>
      </c>
      <c r="I15" s="1153"/>
      <c r="J15" s="1166"/>
      <c r="K15" s="54">
        <v>7</v>
      </c>
      <c r="L15" s="429" t="s">
        <v>2110</v>
      </c>
      <c r="M15" s="54">
        <v>3</v>
      </c>
      <c r="N15" s="429" t="s">
        <v>2111</v>
      </c>
      <c r="O15" s="429" t="s">
        <v>2113</v>
      </c>
      <c r="P15" s="104">
        <f>(K15*12+M15)-(D15*12+F15)+1</f>
        <v>12</v>
      </c>
      <c r="Q15" s="1153" t="s">
        <v>2114</v>
      </c>
      <c r="R15" s="1153"/>
      <c r="S15" s="105" t="s">
        <v>69</v>
      </c>
      <c r="U15" s="426"/>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3"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49999999999999"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428"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49999999999999"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428"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428"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428"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428"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428"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428"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428"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428"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428"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428" t="str">
        <f>IFERROR(IF(G9="特定加算なし","✓",""),"")</f>
        <v/>
      </c>
      <c r="W37" s="1023" t="s">
        <v>15</v>
      </c>
      <c r="X37" s="1024"/>
      <c r="Y37" s="1024"/>
      <c r="Z37" s="1025"/>
      <c r="AA37" s="1042"/>
      <c r="AB37" s="1043"/>
      <c r="AC37" s="1172" t="s">
        <v>2175</v>
      </c>
      <c r="AD37" s="1173"/>
      <c r="AE37" s="1173"/>
      <c r="AF37" s="1173"/>
      <c r="AG37" s="1174"/>
      <c r="AH37" s="1175"/>
      <c r="AI37" s="1042"/>
      <c r="AJ37" s="1043"/>
      <c r="AK37" s="1172" t="s">
        <v>2175</v>
      </c>
      <c r="AL37" s="1173"/>
      <c r="AM37" s="1173"/>
      <c r="AN37" s="1173"/>
      <c r="AO37" s="1174"/>
      <c r="AP37" s="1175"/>
      <c r="AS37" s="999"/>
      <c r="AT37" s="1000"/>
      <c r="AU37" s="1000"/>
      <c r="AV37" s="1000"/>
      <c r="AW37" s="1000"/>
      <c r="AX37" s="1000"/>
      <c r="AY37" s="1000"/>
      <c r="AZ37" s="1000"/>
      <c r="BA37" s="1000"/>
      <c r="BB37" s="1000"/>
      <c r="BC37" s="1000"/>
      <c r="BD37" s="1000"/>
      <c r="BE37" s="1000"/>
      <c r="BF37" s="1000"/>
      <c r="BG37" s="1000"/>
      <c r="BH37" s="1001"/>
    </row>
    <row r="38" spans="2:82" ht="17.149999999999999"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428"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428"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49999999999999"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427"/>
      <c r="AB42" s="427"/>
      <c r="AC42" s="136"/>
      <c r="AD42" s="1015" t="s">
        <v>15</v>
      </c>
      <c r="AE42" s="1015"/>
      <c r="AF42" s="1015"/>
      <c r="AG42" s="1015"/>
      <c r="AH42" s="1015"/>
      <c r="AI42" s="427"/>
      <c r="AJ42" s="427"/>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428"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49999999999999"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428"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176" t="s">
        <v>2202</v>
      </c>
      <c r="AT56" s="1176"/>
      <c r="AU56" s="1176"/>
      <c r="AV56" s="1176"/>
      <c r="AW56" s="1176" t="s">
        <v>2201</v>
      </c>
      <c r="AX56" s="1176"/>
      <c r="AY56" s="1176"/>
      <c r="AZ56" s="1176"/>
    </row>
    <row r="57" spans="2:86" ht="16"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6" customHeight="1">
      <c r="U58" s="1217" t="s">
        <v>2055</v>
      </c>
      <c r="V58" s="1217"/>
      <c r="W58" s="1217"/>
      <c r="X58" s="1217"/>
      <c r="Y58" s="1217"/>
      <c r="Z58" s="539" t="str">
        <f>IF(AND(B9&lt;&gt;"処遇加算なし",F15=4),IF(V24="✓",1,IF(V25="✓",2,IF(V26="✓",3,""))),"")</f>
        <v/>
      </c>
      <c r="AA58" s="536"/>
      <c r="AB58" s="537"/>
      <c r="AC58" s="1217" t="s">
        <v>2055</v>
      </c>
      <c r="AD58" s="1217"/>
      <c r="AE58" s="1217"/>
      <c r="AF58" s="1217"/>
      <c r="AG58" s="1217"/>
      <c r="AH58" s="425">
        <f>IF(AND(F15&lt;&gt;4,F15&lt;&gt;5),0,IF(AU8="○",1,3))</f>
        <v>3</v>
      </c>
      <c r="AI58" s="537"/>
      <c r="AJ58" s="537"/>
      <c r="AK58" s="1217" t="s">
        <v>2055</v>
      </c>
      <c r="AL58" s="1217"/>
      <c r="AM58" s="1217"/>
      <c r="AN58" s="1217"/>
      <c r="AO58" s="1217"/>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6" customHeight="1">
      <c r="U59" s="1217" t="s">
        <v>2056</v>
      </c>
      <c r="V59" s="1217"/>
      <c r="W59" s="1217"/>
      <c r="X59" s="1217"/>
      <c r="Y59" s="1217"/>
      <c r="Z59" s="539" t="str">
        <f>IF(AND(B9&lt;&gt;"処遇加算なし",F15=4),IF(V28="✓",1,IF(V29="✓",2,IF(V30="✓",3,""))),"")</f>
        <v/>
      </c>
      <c r="AA59" s="536"/>
      <c r="AB59" s="537"/>
      <c r="AC59" s="1217" t="s">
        <v>2056</v>
      </c>
      <c r="AD59" s="1217"/>
      <c r="AE59" s="1217"/>
      <c r="AF59" s="1217"/>
      <c r="AG59" s="1217"/>
      <c r="AH59" s="425">
        <f>IF(AND(F15&lt;&gt;4,F15&lt;&gt;5),0,IF(AV8="○",1,3))</f>
        <v>3</v>
      </c>
      <c r="AI59" s="537"/>
      <c r="AJ59" s="537"/>
      <c r="AK59" s="1217" t="s">
        <v>2056</v>
      </c>
      <c r="AL59" s="1217"/>
      <c r="AM59" s="1217"/>
      <c r="AN59" s="1217"/>
      <c r="AO59" s="1217"/>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6" customHeight="1">
      <c r="U60" s="1217" t="s">
        <v>2057</v>
      </c>
      <c r="V60" s="1217"/>
      <c r="W60" s="1217"/>
      <c r="X60" s="1217"/>
      <c r="Y60" s="1217"/>
      <c r="Z60" s="539" t="str">
        <f>IF(AND(B9&lt;&gt;"処遇加算なし",F15=4),IF(V32="✓",1,IF(V33="✓",2,"")),"")</f>
        <v/>
      </c>
      <c r="AA60" s="536"/>
      <c r="AB60" s="537"/>
      <c r="AC60" s="1217" t="s">
        <v>2057</v>
      </c>
      <c r="AD60" s="1217"/>
      <c r="AE60" s="1217"/>
      <c r="AF60" s="1217"/>
      <c r="AG60" s="1217"/>
      <c r="AH60" s="425">
        <f>IF(AND(F15&lt;&gt;4,F15&lt;&gt;5),0,IF(AW8="○",1,3))</f>
        <v>3</v>
      </c>
      <c r="AI60" s="537"/>
      <c r="AJ60" s="537"/>
      <c r="AK60" s="1217" t="s">
        <v>2057</v>
      </c>
      <c r="AL60" s="1217"/>
      <c r="AM60" s="1217"/>
      <c r="AN60" s="1217"/>
      <c r="AO60" s="1217"/>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6" customHeight="1">
      <c r="U61" s="1217" t="s">
        <v>2058</v>
      </c>
      <c r="V61" s="1217"/>
      <c r="W61" s="1217"/>
      <c r="X61" s="1217"/>
      <c r="Y61" s="1217"/>
      <c r="Z61" s="539" t="str">
        <f>IF(AND(B9&lt;&gt;"処遇加算なし",F15=4),IF(V36="✓",1,IF(V37="✓",2,"")),"")</f>
        <v/>
      </c>
      <c r="AA61" s="536"/>
      <c r="AB61" s="537"/>
      <c r="AC61" s="1217" t="s">
        <v>2058</v>
      </c>
      <c r="AD61" s="1217"/>
      <c r="AE61" s="1217"/>
      <c r="AF61" s="1217"/>
      <c r="AG61" s="1217"/>
      <c r="AH61" s="425">
        <f>IF(AND(F15&lt;&gt;4,F15&lt;&gt;5),0,IF(AX8="○",1,2))</f>
        <v>2</v>
      </c>
      <c r="AI61" s="537"/>
      <c r="AJ61" s="537"/>
      <c r="AK61" s="1217" t="s">
        <v>2058</v>
      </c>
      <c r="AL61" s="1217"/>
      <c r="AM61" s="1217"/>
      <c r="AN61" s="1217"/>
      <c r="AO61" s="1217"/>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6" customHeight="1">
      <c r="U62" s="1217" t="s">
        <v>2059</v>
      </c>
      <c r="V62" s="1217"/>
      <c r="W62" s="1217"/>
      <c r="X62" s="1217"/>
      <c r="Y62" s="1217"/>
      <c r="Z62" s="539" t="str">
        <f>IF(AND(B9&lt;&gt;"処遇加算なし",F15=4),IF(V40="✓",1,IF(V41="✓",2,"")),"")</f>
        <v/>
      </c>
      <c r="AA62" s="536"/>
      <c r="AB62" s="537"/>
      <c r="AC62" s="1217" t="s">
        <v>2059</v>
      </c>
      <c r="AD62" s="1217"/>
      <c r="AE62" s="1217"/>
      <c r="AF62" s="1217"/>
      <c r="AG62" s="1217"/>
      <c r="AH62" s="425">
        <f>IF(AND(F15&lt;&gt;4,F15&lt;&gt;5),0,IF(AY8="○",1,2))</f>
        <v>2</v>
      </c>
      <c r="AI62" s="537"/>
      <c r="AJ62" s="537"/>
      <c r="AK62" s="1217" t="s">
        <v>2059</v>
      </c>
      <c r="AL62" s="1217"/>
      <c r="AM62" s="1217"/>
      <c r="AN62" s="1217"/>
      <c r="AO62" s="1217"/>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6"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SUM(事業所個票10!BU51)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139700</xdr:colOff>
                    <xdr:row>20</xdr:row>
                    <xdr:rowOff>19050</xdr:rowOff>
                  </from>
                  <to>
                    <xdr:col>29</xdr:col>
                    <xdr:colOff>120650</xdr:colOff>
                    <xdr:row>21</xdr:row>
                    <xdr:rowOff>12700</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139700</xdr:colOff>
                    <xdr:row>21</xdr:row>
                    <xdr:rowOff>12700</xdr:rowOff>
                  </from>
                  <to>
                    <xdr:col>29</xdr:col>
                    <xdr:colOff>120650</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6350</xdr:rowOff>
                  </from>
                  <to>
                    <xdr:col>29</xdr:col>
                    <xdr:colOff>114300</xdr:colOff>
                    <xdr:row>23</xdr:row>
                    <xdr:rowOff>222250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12700</xdr:rowOff>
                  </from>
                  <to>
                    <xdr:col>29</xdr:col>
                    <xdr:colOff>114300</xdr:colOff>
                    <xdr:row>28</xdr:row>
                    <xdr:rowOff>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12700</xdr:rowOff>
                  </from>
                  <to>
                    <xdr:col>37</xdr:col>
                    <xdr:colOff>114300</xdr:colOff>
                    <xdr:row>44</xdr:row>
                    <xdr:rowOff>177800</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6350</xdr:rowOff>
                  </from>
                  <to>
                    <xdr:col>29</xdr:col>
                    <xdr:colOff>114300</xdr:colOff>
                    <xdr:row>32</xdr:row>
                    <xdr:rowOff>25400</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254000</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139700</xdr:colOff>
                    <xdr:row>39</xdr:row>
                    <xdr:rowOff>0</xdr:rowOff>
                  </from>
                  <to>
                    <xdr:col>37</xdr:col>
                    <xdr:colOff>31750</xdr:colOff>
                    <xdr:row>39</xdr:row>
                    <xdr:rowOff>215900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139700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6350</xdr:rowOff>
                  </from>
                  <to>
                    <xdr:col>37</xdr:col>
                    <xdr:colOff>114300</xdr:colOff>
                    <xdr:row>27</xdr:row>
                    <xdr:rowOff>215900</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25400</xdr:rowOff>
                  </from>
                  <to>
                    <xdr:col>37</xdr:col>
                    <xdr:colOff>114300</xdr:colOff>
                    <xdr:row>28</xdr:row>
                    <xdr:rowOff>215900</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254000</xdr:rowOff>
                  </from>
                  <to>
                    <xdr:col>37</xdr:col>
                    <xdr:colOff>101600</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35</xdr:row>
                    <xdr:rowOff>0</xdr:rowOff>
                  </from>
                  <to>
                    <xdr:col>29</xdr:col>
                    <xdr:colOff>31750</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146050</xdr:colOff>
                    <xdr:row>40</xdr:row>
                    <xdr:rowOff>254000</xdr:rowOff>
                  </from>
                  <to>
                    <xdr:col>28</xdr:col>
                    <xdr:colOff>158750</xdr:colOff>
                    <xdr:row>42</xdr:row>
                    <xdr:rowOff>31750</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146050</xdr:colOff>
                    <xdr:row>36</xdr:row>
                    <xdr:rowOff>241300</xdr:rowOff>
                  </from>
                  <to>
                    <xdr:col>37</xdr:col>
                    <xdr:colOff>127000</xdr:colOff>
                    <xdr:row>38</xdr:row>
                    <xdr:rowOff>6350</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6350</xdr:rowOff>
                  </from>
                  <to>
                    <xdr:col>37</xdr:col>
                    <xdr:colOff>114300</xdr:colOff>
                    <xdr:row>32</xdr:row>
                    <xdr:rowOff>12700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6350</xdr:rowOff>
                  </from>
                  <to>
                    <xdr:col>37</xdr:col>
                    <xdr:colOff>101600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
  <cols>
    <col min="1" max="1" width="42.75" style="446" customWidth="1"/>
    <col min="2" max="28" width="6.75" style="446" customWidth="1"/>
    <col min="29" max="29" width="12" style="446" customWidth="1"/>
    <col min="30" max="30" width="8" style="446" customWidth="1"/>
    <col min="31" max="31" width="46.33203125" style="446" customWidth="1"/>
    <col min="32" max="32" width="26.83203125" style="446" customWidth="1"/>
    <col min="33" max="33" width="9.08203125" style="446" customWidth="1"/>
    <col min="34" max="34" width="38.33203125" style="446" customWidth="1"/>
    <col min="35" max="35" width="38.58203125" style="446" customWidth="1"/>
    <col min="36" max="36" width="9" style="446"/>
    <col min="37" max="37" width="16.75" style="446" customWidth="1"/>
    <col min="38" max="42" width="9" style="446"/>
    <col min="43" max="43" width="48.5" style="446" customWidth="1"/>
    <col min="44" max="44" width="104.33203125" style="446" customWidth="1"/>
    <col min="45" max="16384" width="9" style="446"/>
  </cols>
  <sheetData>
    <row r="1" spans="1:44" ht="13.5" thickBot="1">
      <c r="A1" s="445" t="s">
        <v>217</v>
      </c>
      <c r="B1" s="445"/>
      <c r="C1" s="445"/>
      <c r="D1" s="445"/>
      <c r="E1" s="445"/>
      <c r="AD1" s="447"/>
      <c r="AE1" s="445" t="s">
        <v>2108</v>
      </c>
      <c r="AH1" s="446" t="s">
        <v>218</v>
      </c>
      <c r="AK1" s="446" t="s">
        <v>219</v>
      </c>
      <c r="AM1" s="448" t="s">
        <v>220</v>
      </c>
      <c r="AO1" s="445" t="s">
        <v>221</v>
      </c>
    </row>
    <row r="2" spans="1:44" ht="36.75" customHeight="1" thickBot="1">
      <c r="A2" s="1235" t="s">
        <v>223</v>
      </c>
      <c r="B2" s="1237" t="s">
        <v>2238</v>
      </c>
      <c r="C2" s="1238"/>
      <c r="D2" s="1238"/>
      <c r="E2" s="1239"/>
      <c r="F2" s="1240" t="s">
        <v>2239</v>
      </c>
      <c r="G2" s="1241"/>
      <c r="H2" s="1241"/>
      <c r="I2" s="1235" t="s">
        <v>2240</v>
      </c>
      <c r="J2" s="1242"/>
      <c r="K2" s="1245" t="s">
        <v>2241</v>
      </c>
      <c r="L2" s="1246"/>
      <c r="M2" s="1246"/>
      <c r="N2" s="1246"/>
      <c r="O2" s="1246"/>
      <c r="P2" s="1246"/>
      <c r="Q2" s="1246"/>
      <c r="R2" s="1246"/>
      <c r="S2" s="1246"/>
      <c r="T2" s="1246"/>
      <c r="U2" s="1246"/>
      <c r="V2" s="1246"/>
      <c r="W2" s="1246"/>
      <c r="X2" s="1246"/>
      <c r="Y2" s="1246"/>
      <c r="Z2" s="1246"/>
      <c r="AA2" s="1246"/>
      <c r="AB2" s="1247"/>
      <c r="AC2" s="1232" t="s">
        <v>2242</v>
      </c>
      <c r="AD2" s="447"/>
      <c r="AE2" s="1228" t="s">
        <v>223</v>
      </c>
      <c r="AF2" s="1230" t="s">
        <v>2276</v>
      </c>
      <c r="AH2" s="442" t="s">
        <v>2243</v>
      </c>
      <c r="AI2" s="443" t="s">
        <v>2243</v>
      </c>
      <c r="AK2" s="449" t="s">
        <v>180</v>
      </c>
      <c r="AM2" s="449" t="s">
        <v>16</v>
      </c>
      <c r="AO2" s="450" t="s">
        <v>225</v>
      </c>
      <c r="AQ2" s="1222" t="s">
        <v>2007</v>
      </c>
      <c r="AR2" s="1225" t="s">
        <v>224</v>
      </c>
    </row>
    <row r="3" spans="1:44" ht="51.75" customHeight="1" thickBot="1">
      <c r="A3" s="1236"/>
      <c r="B3" s="1248" t="s">
        <v>227</v>
      </c>
      <c r="C3" s="1249"/>
      <c r="D3" s="1249"/>
      <c r="E3" s="1250"/>
      <c r="F3" s="1251" t="s">
        <v>228</v>
      </c>
      <c r="G3" s="1251"/>
      <c r="H3" s="1251"/>
      <c r="I3" s="1243"/>
      <c r="J3" s="1244"/>
      <c r="K3" s="1252" t="s">
        <v>229</v>
      </c>
      <c r="L3" s="1253"/>
      <c r="M3" s="1253"/>
      <c r="N3" s="1253"/>
      <c r="O3" s="1253"/>
      <c r="P3" s="1253"/>
      <c r="Q3" s="1253"/>
      <c r="R3" s="1253"/>
      <c r="S3" s="1253"/>
      <c r="T3" s="1253"/>
      <c r="U3" s="1253"/>
      <c r="V3" s="1253"/>
      <c r="W3" s="1253"/>
      <c r="X3" s="1253"/>
      <c r="Y3" s="1253"/>
      <c r="Z3" s="1253"/>
      <c r="AA3" s="1253"/>
      <c r="AB3" s="1254"/>
      <c r="AC3" s="1233"/>
      <c r="AD3" s="447"/>
      <c r="AE3" s="1229"/>
      <c r="AF3" s="1231"/>
      <c r="AH3" s="441" t="s">
        <v>2244</v>
      </c>
      <c r="AI3" s="444" t="s">
        <v>2244</v>
      </c>
      <c r="AK3" s="451"/>
      <c r="AM3" s="451"/>
      <c r="AO3" s="452" t="s">
        <v>18</v>
      </c>
      <c r="AQ3" s="1223"/>
      <c r="AR3" s="1226"/>
    </row>
    <row r="4" spans="1:44" ht="41.25" customHeight="1" thickBot="1">
      <c r="A4" s="1236"/>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4"/>
      <c r="AD4" s="447"/>
      <c r="AE4" s="1229"/>
      <c r="AF4" s="1231"/>
      <c r="AH4" s="441" t="s">
        <v>2279</v>
      </c>
      <c r="AI4" s="444" t="s">
        <v>2279</v>
      </c>
      <c r="AO4" s="452" t="s">
        <v>236</v>
      </c>
      <c r="AQ4" s="1224"/>
      <c r="AR4" s="1227"/>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3.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3.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3.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3.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3.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3.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3.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
  <cols>
    <col min="2" max="2" width="12.5" customWidth="1"/>
    <col min="3" max="4" width="12.5" style="52" customWidth="1"/>
    <col min="5" max="5" width="30.58203125" style="52" customWidth="1"/>
    <col min="6" max="6" width="14" style="52" customWidth="1"/>
    <col min="7" max="7" width="12.5" style="52" customWidth="1"/>
    <col min="8" max="8" width="35.33203125" style="17" customWidth="1"/>
    <col min="9" max="9" width="12.5" style="52" customWidth="1"/>
    <col min="10" max="10" width="33.5" style="23" customWidth="1"/>
    <col min="11" max="11" width="12.5" style="52" customWidth="1"/>
    <col min="12" max="12" width="35.5" style="25" customWidth="1"/>
    <col min="13" max="13" width="35" customWidth="1"/>
    <col min="14" max="19" width="30.08203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7" t="s">
        <v>2238</v>
      </c>
      <c r="C3" s="1256" t="s">
        <v>2239</v>
      </c>
      <c r="D3" s="1256" t="s">
        <v>2240</v>
      </c>
      <c r="E3" s="1256" t="s">
        <v>226</v>
      </c>
      <c r="F3" s="1258" t="s">
        <v>2066</v>
      </c>
      <c r="G3" s="1256" t="s">
        <v>2102</v>
      </c>
      <c r="H3" s="1256"/>
      <c r="I3" s="1256" t="s">
        <v>2103</v>
      </c>
      <c r="J3" s="1256"/>
      <c r="K3" s="1256" t="s">
        <v>2104</v>
      </c>
      <c r="L3" s="1256"/>
      <c r="M3" s="1255" t="s">
        <v>2036</v>
      </c>
      <c r="N3" s="1255" t="s">
        <v>2037</v>
      </c>
      <c r="O3" s="1255" t="s">
        <v>2038</v>
      </c>
      <c r="P3" s="1255" t="s">
        <v>2039</v>
      </c>
      <c r="Q3" s="1255" t="s">
        <v>2040</v>
      </c>
      <c r="R3" s="1255" t="s">
        <v>2041</v>
      </c>
      <c r="S3" s="1255" t="s">
        <v>2042</v>
      </c>
    </row>
    <row r="4" spans="2:19">
      <c r="B4" s="1257"/>
      <c r="C4" s="1256"/>
      <c r="D4" s="1256"/>
      <c r="E4" s="1256"/>
      <c r="F4" s="1259"/>
      <c r="G4" s="1256"/>
      <c r="H4" s="1256"/>
      <c r="I4" s="1256"/>
      <c r="J4" s="1256"/>
      <c r="K4" s="1256"/>
      <c r="L4" s="1256"/>
      <c r="M4" s="1255"/>
      <c r="N4" s="1255"/>
      <c r="O4" s="1255"/>
      <c r="P4" s="1255"/>
      <c r="Q4" s="1255"/>
      <c r="R4" s="1255"/>
      <c r="S4" s="1255"/>
    </row>
    <row r="5" spans="2:19">
      <c r="B5" s="1257"/>
      <c r="C5" s="1256"/>
      <c r="D5" s="1256"/>
      <c r="E5" s="1256"/>
      <c r="F5" s="1260"/>
      <c r="G5" s="1256"/>
      <c r="H5" s="1256"/>
      <c r="I5" s="1256"/>
      <c r="J5" s="1256"/>
      <c r="K5" s="1256"/>
      <c r="L5" s="1256"/>
      <c r="M5" s="1255"/>
      <c r="N5" s="1255"/>
      <c r="O5" s="1255"/>
      <c r="P5" s="1255"/>
      <c r="Q5" s="1255"/>
      <c r="R5" s="1255"/>
      <c r="S5" s="1255"/>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1">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ColWidth="9" defaultRowHeight="13"/>
  <cols>
    <col min="1" max="1" width="15.25" style="1" bestFit="1" customWidth="1"/>
    <col min="2" max="2" width="9" style="1"/>
    <col min="3" max="3" width="16.75" style="1" bestFit="1" customWidth="1"/>
    <col min="4" max="4" width="16" style="1" bestFit="1" customWidth="1"/>
    <col min="5" max="16384" width="9" style="1"/>
  </cols>
  <sheetData>
    <row r="1" spans="1:8" ht="17" thickBot="1">
      <c r="A1" s="4" t="s">
        <v>241</v>
      </c>
      <c r="C1" s="1" t="s">
        <v>242</v>
      </c>
    </row>
    <row r="2" spans="1:8" ht="17"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3.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M5" sqref="AM5:AP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7" t="s">
        <v>2118</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76"/>
      <c r="AR2" s="76"/>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2"/>
      <c r="Q5" s="1213"/>
      <c r="R5" s="1213"/>
      <c r="S5" s="1213"/>
      <c r="T5" s="1213"/>
      <c r="U5" s="1213"/>
      <c r="V5" s="1213"/>
      <c r="W5" s="1213"/>
      <c r="X5" s="1214"/>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127" t="str">
        <f>IFERROR(VLOOKUP(Y5,【参考】数式用!$A$5:$AB$37,MATCH(V11,【参考】数式用!$B$4:$AB$4,0)+1,FALSE),"")</f>
        <v/>
      </c>
      <c r="W12" s="1127"/>
      <c r="X12" s="1127"/>
      <c r="Y12" s="1127"/>
      <c r="Z12" s="1127"/>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102"/>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103" t="s">
        <v>2110</v>
      </c>
      <c r="F15" s="54">
        <v>4</v>
      </c>
      <c r="G15" s="103" t="s">
        <v>2111</v>
      </c>
      <c r="H15" s="1153" t="s">
        <v>2112</v>
      </c>
      <c r="I15" s="1153"/>
      <c r="J15" s="1166"/>
      <c r="K15" s="54">
        <v>7</v>
      </c>
      <c r="L15" s="103" t="s">
        <v>2110</v>
      </c>
      <c r="M15" s="54">
        <v>3</v>
      </c>
      <c r="N15" s="103" t="s">
        <v>2111</v>
      </c>
      <c r="O15" s="103" t="s">
        <v>2113</v>
      </c>
      <c r="P15" s="104">
        <f>(K15*12+M15)-(D15*12+F15)+1</f>
        <v>12</v>
      </c>
      <c r="Q15" s="1153" t="s">
        <v>2114</v>
      </c>
      <c r="R15" s="1153"/>
      <c r="S15" s="105" t="s">
        <v>69</v>
      </c>
      <c r="U15" s="102"/>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3"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49999999999999"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119"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49999999999999"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119"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119"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119"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119"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119"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119"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119"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119"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119"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119" t="str">
        <f>IFERROR(IF(G9="特定加算なし","✓",""),"")</f>
        <v/>
      </c>
      <c r="W37" s="1023" t="s">
        <v>15</v>
      </c>
      <c r="X37" s="1024"/>
      <c r="Y37" s="1024"/>
      <c r="Z37" s="1025"/>
      <c r="AA37" s="1042"/>
      <c r="AB37" s="1043"/>
      <c r="AC37" s="1172" t="s">
        <v>2175</v>
      </c>
      <c r="AD37" s="1173"/>
      <c r="AE37" s="1173"/>
      <c r="AF37" s="1173"/>
      <c r="AG37" s="1174">
        <v>0</v>
      </c>
      <c r="AH37" s="1175"/>
      <c r="AI37" s="1042"/>
      <c r="AJ37" s="1043"/>
      <c r="AK37" s="1172" t="s">
        <v>2175</v>
      </c>
      <c r="AL37" s="1173"/>
      <c r="AM37" s="1173"/>
      <c r="AN37" s="1173"/>
      <c r="AO37" s="1174">
        <v>1</v>
      </c>
      <c r="AP37" s="1175"/>
      <c r="AS37" s="999"/>
      <c r="AT37" s="1000"/>
      <c r="AU37" s="1000"/>
      <c r="AV37" s="1000"/>
      <c r="AW37" s="1000"/>
      <c r="AX37" s="1000"/>
      <c r="AY37" s="1000"/>
      <c r="AZ37" s="1000"/>
      <c r="BA37" s="1000"/>
      <c r="BB37" s="1000"/>
      <c r="BC37" s="1000"/>
      <c r="BD37" s="1000"/>
      <c r="BE37" s="1000"/>
      <c r="BF37" s="1000"/>
      <c r="BG37" s="1000"/>
      <c r="BH37" s="1001"/>
    </row>
    <row r="38" spans="2:82" ht="17.149999999999999"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119"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119"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49999999999999"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110"/>
      <c r="AB42" s="110"/>
      <c r="AC42" s="136"/>
      <c r="AD42" s="1015" t="s">
        <v>15</v>
      </c>
      <c r="AE42" s="1015"/>
      <c r="AF42" s="1015"/>
      <c r="AG42" s="1015"/>
      <c r="AH42" s="1015"/>
      <c r="AI42" s="110"/>
      <c r="AJ42" s="110"/>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119"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49999999999999"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119"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70" t="s">
        <v>2357</v>
      </c>
      <c r="V56" s="1170"/>
      <c r="W56" s="1170"/>
      <c r="X56" s="1170"/>
      <c r="Y56" s="1170"/>
      <c r="Z56" s="1170"/>
      <c r="AA56" s="145"/>
      <c r="AB56" s="149"/>
      <c r="AC56" s="1170" t="str">
        <f>IF(F15=4,"R6.4～R6.5",IF(F15=5,"R6.5",""))</f>
        <v>R6.4～R6.5</v>
      </c>
      <c r="AD56" s="1170"/>
      <c r="AE56" s="1170"/>
      <c r="AF56" s="1170"/>
      <c r="AG56" s="1170"/>
      <c r="AH56" s="1170"/>
      <c r="AI56" s="150"/>
      <c r="AJ56" s="149"/>
      <c r="AK56" s="1170" t="str">
        <f>IF(OR(F15=4,F15=5),"R6.6","R"&amp;D15&amp;"."&amp;F15)&amp;"～R"&amp;K15&amp;"."&amp;M15</f>
        <v>R6.6～R7.3</v>
      </c>
      <c r="AL56" s="1170"/>
      <c r="AM56" s="1170"/>
      <c r="AN56" s="1170"/>
      <c r="AO56" s="1170"/>
      <c r="AP56" s="1170"/>
      <c r="AQ56" s="145"/>
      <c r="AR56" s="145"/>
      <c r="AS56" s="1176" t="s">
        <v>2202</v>
      </c>
      <c r="AT56" s="1176"/>
      <c r="AU56" s="1176"/>
      <c r="AV56" s="1176"/>
      <c r="AW56" s="1176" t="s">
        <v>2201</v>
      </c>
      <c r="AX56" s="1176"/>
      <c r="AY56" s="1176"/>
      <c r="AZ56" s="1176"/>
    </row>
    <row r="57" spans="2:86" ht="16" customHeight="1">
      <c r="U57" s="1018" t="s">
        <v>2358</v>
      </c>
      <c r="V57" s="1018"/>
      <c r="W57" s="1018"/>
      <c r="X57" s="1018"/>
      <c r="Y57" s="1018"/>
      <c r="Z57" s="152" t="str">
        <f>IF(AND(B9&lt;&gt;"処遇加算なし",F15=4),IF(V21="✓",1,IF(V22="✓",2,"")),"")</f>
        <v/>
      </c>
      <c r="AA57" s="145"/>
      <c r="AB57" s="149"/>
      <c r="AC57" s="1018" t="s">
        <v>2358</v>
      </c>
      <c r="AD57" s="1018"/>
      <c r="AE57" s="1018"/>
      <c r="AF57" s="1018"/>
      <c r="AG57" s="1018"/>
      <c r="AH57" s="425">
        <f>IF(AND(F15&lt;&gt;4,F15&lt;&gt;5),0,IF(AT8="○",1,0))</f>
        <v>0</v>
      </c>
      <c r="AI57" s="153"/>
      <c r="AJ57" s="149"/>
      <c r="AK57" s="1018" t="s">
        <v>2358</v>
      </c>
      <c r="AL57" s="1018"/>
      <c r="AM57" s="1018"/>
      <c r="AN57" s="1018"/>
      <c r="AO57" s="1018"/>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6" customHeight="1">
      <c r="U58" s="1126" t="s">
        <v>2359</v>
      </c>
      <c r="V58" s="1126"/>
      <c r="W58" s="1126"/>
      <c r="X58" s="1126"/>
      <c r="Y58" s="1126"/>
      <c r="Z58" s="152" t="str">
        <f>IF(AND(B9&lt;&gt;"処遇加算なし",F15=4),IF(V24="✓",1,IF(V25="✓",2,IF(V26="✓",3,""))),"")</f>
        <v/>
      </c>
      <c r="AA58" s="145"/>
      <c r="AB58" s="149"/>
      <c r="AC58" s="1126" t="s">
        <v>2359</v>
      </c>
      <c r="AD58" s="1126"/>
      <c r="AE58" s="1126"/>
      <c r="AF58" s="1126"/>
      <c r="AG58" s="1126"/>
      <c r="AH58" s="425">
        <f>IF(AND(F15&lt;&gt;4,F15&lt;&gt;5),0,IF(AU8="○",1,3))</f>
        <v>3</v>
      </c>
      <c r="AI58" s="153"/>
      <c r="AJ58" s="149"/>
      <c r="AK58" s="1126" t="s">
        <v>2359</v>
      </c>
      <c r="AL58" s="1126"/>
      <c r="AM58" s="1126"/>
      <c r="AN58" s="1126"/>
      <c r="AO58" s="1126"/>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6" customHeight="1">
      <c r="U59" s="1126" t="s">
        <v>2360</v>
      </c>
      <c r="V59" s="1126"/>
      <c r="W59" s="1126"/>
      <c r="X59" s="1126"/>
      <c r="Y59" s="1126"/>
      <c r="Z59" s="152" t="str">
        <f>IF(AND(B9&lt;&gt;"処遇加算なし",F15=4),IF(V28="✓",1,IF(V29="✓",2,IF(V30="✓",3,""))),"")</f>
        <v/>
      </c>
      <c r="AA59" s="145"/>
      <c r="AB59" s="149"/>
      <c r="AC59" s="1126" t="s">
        <v>2360</v>
      </c>
      <c r="AD59" s="1126"/>
      <c r="AE59" s="1126"/>
      <c r="AF59" s="1126"/>
      <c r="AG59" s="1126"/>
      <c r="AH59" s="425">
        <f>IF(AND(F15&lt;&gt;4,F15&lt;&gt;5),0,IF(AV8="○",1,3))</f>
        <v>3</v>
      </c>
      <c r="AI59" s="153"/>
      <c r="AJ59" s="149"/>
      <c r="AK59" s="1126" t="s">
        <v>2360</v>
      </c>
      <c r="AL59" s="1126"/>
      <c r="AM59" s="1126"/>
      <c r="AN59" s="1126"/>
      <c r="AO59" s="1126"/>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6" customHeight="1">
      <c r="U60" s="1126" t="s">
        <v>2361</v>
      </c>
      <c r="V60" s="1126"/>
      <c r="W60" s="1126"/>
      <c r="X60" s="1126"/>
      <c r="Y60" s="1126"/>
      <c r="Z60" s="152" t="str">
        <f>IF(AND(B9&lt;&gt;"処遇加算なし",F15=4),IF(V32="✓",1,IF(V33="✓",2,"")),"")</f>
        <v/>
      </c>
      <c r="AA60" s="145"/>
      <c r="AB60" s="149"/>
      <c r="AC60" s="1126" t="s">
        <v>2361</v>
      </c>
      <c r="AD60" s="1126"/>
      <c r="AE60" s="1126"/>
      <c r="AF60" s="1126"/>
      <c r="AG60" s="1126"/>
      <c r="AH60" s="425">
        <f>IF(AND(F15&lt;&gt;4,F15&lt;&gt;5),0,IF(AW8="○",1,3))</f>
        <v>3</v>
      </c>
      <c r="AI60" s="153"/>
      <c r="AJ60" s="149"/>
      <c r="AK60" s="1126" t="s">
        <v>2361</v>
      </c>
      <c r="AL60" s="1126"/>
      <c r="AM60" s="1126"/>
      <c r="AN60" s="1126"/>
      <c r="AO60" s="1126"/>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6" customHeight="1">
      <c r="U61" s="1126" t="s">
        <v>2362</v>
      </c>
      <c r="V61" s="1126"/>
      <c r="W61" s="1126"/>
      <c r="X61" s="1126"/>
      <c r="Y61" s="1126"/>
      <c r="Z61" s="152" t="str">
        <f>IF(AND(B9&lt;&gt;"処遇加算なし",F15=4),IF(V36="✓",1,IF(V37="✓",2,"")),"")</f>
        <v/>
      </c>
      <c r="AA61" s="145"/>
      <c r="AB61" s="149"/>
      <c r="AC61" s="1126" t="s">
        <v>2362</v>
      </c>
      <c r="AD61" s="1126"/>
      <c r="AE61" s="1126"/>
      <c r="AF61" s="1126"/>
      <c r="AG61" s="1126"/>
      <c r="AH61" s="425">
        <f>IF(AND(F15&lt;&gt;4,F15&lt;&gt;5),0,IF(AX8="○",1,2))</f>
        <v>2</v>
      </c>
      <c r="AI61" s="153"/>
      <c r="AJ61" s="149"/>
      <c r="AK61" s="1126" t="s">
        <v>2362</v>
      </c>
      <c r="AL61" s="1126"/>
      <c r="AM61" s="1126"/>
      <c r="AN61" s="1126"/>
      <c r="AO61" s="1126"/>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6" customHeight="1">
      <c r="U62" s="1126" t="s">
        <v>2363</v>
      </c>
      <c r="V62" s="1126"/>
      <c r="W62" s="1126"/>
      <c r="X62" s="1126"/>
      <c r="Y62" s="1126"/>
      <c r="Z62" s="152" t="str">
        <f>IF(AND(B9&lt;&gt;"処遇加算なし",F15=4),IF(V40="✓",1,IF(V41="✓",2,"")),"")</f>
        <v/>
      </c>
      <c r="AA62" s="145"/>
      <c r="AB62" s="149"/>
      <c r="AC62" s="1126" t="s">
        <v>2363</v>
      </c>
      <c r="AD62" s="1126"/>
      <c r="AE62" s="1126"/>
      <c r="AF62" s="1126"/>
      <c r="AG62" s="1126"/>
      <c r="AH62" s="425">
        <f>IF(AND(F15&lt;&gt;4,F15&lt;&gt;5),0,IF(AY8="○",1,2))</f>
        <v>2</v>
      </c>
      <c r="AI62" s="153"/>
      <c r="AJ62" s="149"/>
      <c r="AK62" s="1126" t="s">
        <v>2363</v>
      </c>
      <c r="AL62" s="1126"/>
      <c r="AM62" s="1126"/>
      <c r="AN62" s="1126"/>
      <c r="AO62" s="1126"/>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6" customHeight="1">
      <c r="U63" s="1018" t="s">
        <v>2364</v>
      </c>
      <c r="V63" s="1018"/>
      <c r="W63" s="1018"/>
      <c r="X63" s="1018"/>
      <c r="Y63" s="1018"/>
      <c r="Z63" s="152" t="str">
        <f>IF(AND(B9&lt;&gt;"処遇加算なし",F15=4),IF(V44="✓",1,IF(V45="✓",2,"")),"")</f>
        <v/>
      </c>
      <c r="AA63" s="145"/>
      <c r="AB63" s="149"/>
      <c r="AC63" s="1018" t="s">
        <v>2364</v>
      </c>
      <c r="AD63" s="1018"/>
      <c r="AE63" s="1018"/>
      <c r="AF63" s="1018"/>
      <c r="AG63" s="1018"/>
      <c r="AH63" s="425">
        <f>IF(AND(F15&lt;&gt;4,F15&lt;&gt;5),0,IF(AZ8="○",1,2))</f>
        <v>2</v>
      </c>
      <c r="AI63" s="153"/>
      <c r="AJ63" s="149"/>
      <c r="AK63" s="1018" t="s">
        <v>2364</v>
      </c>
      <c r="AL63" s="1018"/>
      <c r="AM63" s="1018"/>
      <c r="AN63" s="1018"/>
      <c r="AO63" s="1018"/>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SUM('別紙様式6-2 事業所個票１'!BU51)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事業所番号を入力してください。_x000a_（桁数が異なるとエラーになります）" sqref="B5:F5" xr:uid="{8797965C-D8C4-40B4-9173-C5CD50E9D372}">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139700</xdr:colOff>
                    <xdr:row>20</xdr:row>
                    <xdr:rowOff>19050</xdr:rowOff>
                  </from>
                  <to>
                    <xdr:col>29</xdr:col>
                    <xdr:colOff>120650</xdr:colOff>
                    <xdr:row>21</xdr:row>
                    <xdr:rowOff>12700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139700</xdr:colOff>
                    <xdr:row>21</xdr:row>
                    <xdr:rowOff>12700</xdr:rowOff>
                  </from>
                  <to>
                    <xdr:col>29</xdr:col>
                    <xdr:colOff>120650</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6350</xdr:rowOff>
                  </from>
                  <to>
                    <xdr:col>29</xdr:col>
                    <xdr:colOff>114300</xdr:colOff>
                    <xdr:row>23</xdr:row>
                    <xdr:rowOff>222250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12700</xdr:rowOff>
                  </from>
                  <to>
                    <xdr:col>29</xdr:col>
                    <xdr:colOff>114300</xdr:colOff>
                    <xdr:row>28</xdr:row>
                    <xdr:rowOff>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6350</xdr:rowOff>
                  </from>
                  <to>
                    <xdr:col>29</xdr:col>
                    <xdr:colOff>114300</xdr:colOff>
                    <xdr:row>32</xdr:row>
                    <xdr:rowOff>25400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254000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44450</xdr:rowOff>
                  </from>
                  <to>
                    <xdr:col>29</xdr:col>
                    <xdr:colOff>114300</xdr:colOff>
                    <xdr:row>33</xdr:row>
                    <xdr:rowOff>234950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12700</xdr:rowOff>
                  </from>
                  <to>
                    <xdr:col>37</xdr:col>
                    <xdr:colOff>114300</xdr:colOff>
                    <xdr:row>44</xdr:row>
                    <xdr:rowOff>177800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139700</xdr:colOff>
                    <xdr:row>39</xdr:row>
                    <xdr:rowOff>0</xdr:rowOff>
                  </from>
                  <to>
                    <xdr:col>37</xdr:col>
                    <xdr:colOff>31750</xdr:colOff>
                    <xdr:row>39</xdr:row>
                    <xdr:rowOff>215900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139700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6350</xdr:rowOff>
                  </from>
                  <to>
                    <xdr:col>37</xdr:col>
                    <xdr:colOff>114300</xdr:colOff>
                    <xdr:row>27</xdr:row>
                    <xdr:rowOff>215900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25400</xdr:rowOff>
                  </from>
                  <to>
                    <xdr:col>37</xdr:col>
                    <xdr:colOff>114300</xdr:colOff>
                    <xdr:row>28</xdr:row>
                    <xdr:rowOff>215900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254000</xdr:rowOff>
                  </from>
                  <to>
                    <xdr:col>37</xdr:col>
                    <xdr:colOff>101600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139700</xdr:rowOff>
                  </from>
                  <to>
                    <xdr:col>29</xdr:col>
                    <xdr:colOff>31750</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146050</xdr:colOff>
                    <xdr:row>40</xdr:row>
                    <xdr:rowOff>254000</xdr:rowOff>
                  </from>
                  <to>
                    <xdr:col>28</xdr:col>
                    <xdr:colOff>158750</xdr:colOff>
                    <xdr:row>42</xdr:row>
                    <xdr:rowOff>31750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146050</xdr:colOff>
                    <xdr:row>36</xdr:row>
                    <xdr:rowOff>241300</xdr:rowOff>
                  </from>
                  <to>
                    <xdr:col>37</xdr:col>
                    <xdr:colOff>127000</xdr:colOff>
                    <xdr:row>38</xdr:row>
                    <xdr:rowOff>6350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6350</xdr:rowOff>
                  </from>
                  <to>
                    <xdr:col>37</xdr:col>
                    <xdr:colOff>114300</xdr:colOff>
                    <xdr:row>32</xdr:row>
                    <xdr:rowOff>12700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6350</xdr:rowOff>
                  </from>
                  <to>
                    <xdr:col>37</xdr:col>
                    <xdr:colOff>101600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tabSelected="1" view="pageBreakPreview" zoomScaleNormal="53" zoomScaleSheetLayoutView="100" workbookViewId="0">
      <selection activeCell="B5" sqref="B5:F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7" t="s">
        <v>2324</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436"/>
      <c r="AR2" s="436"/>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2"/>
      <c r="Q5" s="1213"/>
      <c r="R5" s="1213"/>
      <c r="S5" s="1213"/>
      <c r="T5" s="1213"/>
      <c r="U5" s="1213"/>
      <c r="V5" s="1213"/>
      <c r="W5" s="1213"/>
      <c r="X5" s="1214"/>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127" t="str">
        <f>IFERROR(VLOOKUP(Y5,【参考】数式用!$A$5:$AB$37,MATCH(V11,【参考】数式用!$B$4:$AB$4,0)+1,FALSE),"")</f>
        <v/>
      </c>
      <c r="W12" s="1127"/>
      <c r="X12" s="1127"/>
      <c r="Y12" s="1127"/>
      <c r="Z12" s="1127"/>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434"/>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437" t="s">
        <v>2110</v>
      </c>
      <c r="F15" s="54">
        <v>4</v>
      </c>
      <c r="G15" s="437" t="s">
        <v>2111</v>
      </c>
      <c r="H15" s="1153" t="s">
        <v>2112</v>
      </c>
      <c r="I15" s="1153"/>
      <c r="J15" s="1166"/>
      <c r="K15" s="54">
        <v>7</v>
      </c>
      <c r="L15" s="437" t="s">
        <v>2110</v>
      </c>
      <c r="M15" s="54">
        <v>3</v>
      </c>
      <c r="N15" s="437" t="s">
        <v>2111</v>
      </c>
      <c r="O15" s="437" t="s">
        <v>2113</v>
      </c>
      <c r="P15" s="104">
        <f>(K15*12+M15)-(D15*12+F15)+1</f>
        <v>12</v>
      </c>
      <c r="Q15" s="1153" t="s">
        <v>2114</v>
      </c>
      <c r="R15" s="1153"/>
      <c r="S15" s="105" t="s">
        <v>69</v>
      </c>
      <c r="U15" s="434"/>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3"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49999999999999"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438"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49999999999999"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438"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438"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438"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438"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438"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438"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438"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438"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438"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438" t="str">
        <f>IFERROR(IF(G9="特定加算なし","✓",""),"")</f>
        <v/>
      </c>
      <c r="W37" s="1023" t="s">
        <v>15</v>
      </c>
      <c r="X37" s="1024"/>
      <c r="Y37" s="1024"/>
      <c r="Z37" s="1025"/>
      <c r="AA37" s="1042"/>
      <c r="AB37" s="1043"/>
      <c r="AC37" s="1172" t="s">
        <v>2175</v>
      </c>
      <c r="AD37" s="1173"/>
      <c r="AE37" s="1173"/>
      <c r="AF37" s="1173"/>
      <c r="AG37" s="1174">
        <v>0</v>
      </c>
      <c r="AH37" s="1175"/>
      <c r="AI37" s="1042"/>
      <c r="AJ37" s="1043"/>
      <c r="AK37" s="1172" t="s">
        <v>2175</v>
      </c>
      <c r="AL37" s="1173"/>
      <c r="AM37" s="1173"/>
      <c r="AN37" s="1173"/>
      <c r="AO37" s="1174"/>
      <c r="AP37" s="1175"/>
      <c r="AS37" s="999"/>
      <c r="AT37" s="1000"/>
      <c r="AU37" s="1000"/>
      <c r="AV37" s="1000"/>
      <c r="AW37" s="1000"/>
      <c r="AX37" s="1000"/>
      <c r="AY37" s="1000"/>
      <c r="AZ37" s="1000"/>
      <c r="BA37" s="1000"/>
      <c r="BB37" s="1000"/>
      <c r="BC37" s="1000"/>
      <c r="BD37" s="1000"/>
      <c r="BE37" s="1000"/>
      <c r="BF37" s="1000"/>
      <c r="BG37" s="1000"/>
      <c r="BH37" s="1001"/>
    </row>
    <row r="38" spans="2:82" ht="17.149999999999999"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438"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438"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49999999999999"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435"/>
      <c r="AB42" s="435"/>
      <c r="AC42" s="136"/>
      <c r="AD42" s="1015" t="s">
        <v>15</v>
      </c>
      <c r="AE42" s="1015"/>
      <c r="AF42" s="1015"/>
      <c r="AG42" s="1015"/>
      <c r="AH42" s="1015"/>
      <c r="AI42" s="435"/>
      <c r="AJ42" s="435"/>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438"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49999999999999"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438"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176" t="s">
        <v>2202</v>
      </c>
      <c r="AT56" s="1176"/>
      <c r="AU56" s="1176"/>
      <c r="AV56" s="1176"/>
      <c r="AW56" s="1176" t="s">
        <v>2201</v>
      </c>
      <c r="AX56" s="1176"/>
      <c r="AY56" s="1176"/>
      <c r="AZ56" s="1176"/>
    </row>
    <row r="57" spans="2:86" ht="16"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6" customHeight="1">
      <c r="U58" s="1217" t="s">
        <v>2055</v>
      </c>
      <c r="V58" s="1217"/>
      <c r="W58" s="1217"/>
      <c r="X58" s="1217"/>
      <c r="Y58" s="1217"/>
      <c r="Z58" s="539" t="str">
        <f>IF(AND(B9&lt;&gt;"処遇加算なし",F15=4),IF(V24="✓",1,IF(V25="✓",2,IF(V26="✓",3,""))),"")</f>
        <v/>
      </c>
      <c r="AA58" s="536"/>
      <c r="AB58" s="537"/>
      <c r="AC58" s="1217" t="s">
        <v>2055</v>
      </c>
      <c r="AD58" s="1217"/>
      <c r="AE58" s="1217"/>
      <c r="AF58" s="1217"/>
      <c r="AG58" s="1217"/>
      <c r="AH58" s="425">
        <f>IF(AND(F15&lt;&gt;4,F15&lt;&gt;5),0,IF(AU8="○",1,3))</f>
        <v>3</v>
      </c>
      <c r="AI58" s="537"/>
      <c r="AJ58" s="537"/>
      <c r="AK58" s="1217" t="s">
        <v>2055</v>
      </c>
      <c r="AL58" s="1217"/>
      <c r="AM58" s="1217"/>
      <c r="AN58" s="1217"/>
      <c r="AO58" s="1217"/>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6" customHeight="1">
      <c r="U59" s="1217" t="s">
        <v>2056</v>
      </c>
      <c r="V59" s="1217"/>
      <c r="W59" s="1217"/>
      <c r="X59" s="1217"/>
      <c r="Y59" s="1217"/>
      <c r="Z59" s="539" t="str">
        <f>IF(AND(B9&lt;&gt;"処遇加算なし",F15=4),IF(V28="✓",1,IF(V29="✓",2,IF(V30="✓",3,""))),"")</f>
        <v/>
      </c>
      <c r="AA59" s="536"/>
      <c r="AB59" s="537"/>
      <c r="AC59" s="1217" t="s">
        <v>2056</v>
      </c>
      <c r="AD59" s="1217"/>
      <c r="AE59" s="1217"/>
      <c r="AF59" s="1217"/>
      <c r="AG59" s="1217"/>
      <c r="AH59" s="425">
        <f>IF(AND(F15&lt;&gt;4,F15&lt;&gt;5),0,IF(AV8="○",1,3))</f>
        <v>3</v>
      </c>
      <c r="AI59" s="537"/>
      <c r="AJ59" s="537"/>
      <c r="AK59" s="1217" t="s">
        <v>2056</v>
      </c>
      <c r="AL59" s="1217"/>
      <c r="AM59" s="1217"/>
      <c r="AN59" s="1217"/>
      <c r="AO59" s="1217"/>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6" customHeight="1">
      <c r="U60" s="1217" t="s">
        <v>2057</v>
      </c>
      <c r="V60" s="1217"/>
      <c r="W60" s="1217"/>
      <c r="X60" s="1217"/>
      <c r="Y60" s="1217"/>
      <c r="Z60" s="539" t="str">
        <f>IF(AND(B9&lt;&gt;"処遇加算なし",F15=4),IF(V32="✓",1,IF(V33="✓",2,"")),"")</f>
        <v/>
      </c>
      <c r="AA60" s="536"/>
      <c r="AB60" s="537"/>
      <c r="AC60" s="1217" t="s">
        <v>2057</v>
      </c>
      <c r="AD60" s="1217"/>
      <c r="AE60" s="1217"/>
      <c r="AF60" s="1217"/>
      <c r="AG60" s="1217"/>
      <c r="AH60" s="425">
        <f>IF(AND(F15&lt;&gt;4,F15&lt;&gt;5),0,IF(AW8="○",1,3))</f>
        <v>3</v>
      </c>
      <c r="AI60" s="537"/>
      <c r="AJ60" s="537"/>
      <c r="AK60" s="1217" t="s">
        <v>2057</v>
      </c>
      <c r="AL60" s="1217"/>
      <c r="AM60" s="1217"/>
      <c r="AN60" s="1217"/>
      <c r="AO60" s="1217"/>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6" customHeight="1">
      <c r="U61" s="1217" t="s">
        <v>2058</v>
      </c>
      <c r="V61" s="1217"/>
      <c r="W61" s="1217"/>
      <c r="X61" s="1217"/>
      <c r="Y61" s="1217"/>
      <c r="Z61" s="539" t="str">
        <f>IF(AND(B9&lt;&gt;"処遇加算なし",F15=4),IF(V36="✓",1,IF(V37="✓",2,"")),"")</f>
        <v/>
      </c>
      <c r="AA61" s="536"/>
      <c r="AB61" s="537"/>
      <c r="AC61" s="1217" t="s">
        <v>2058</v>
      </c>
      <c r="AD61" s="1217"/>
      <c r="AE61" s="1217"/>
      <c r="AF61" s="1217"/>
      <c r="AG61" s="1217"/>
      <c r="AH61" s="425">
        <f>IF(AND(F15&lt;&gt;4,F15&lt;&gt;5),0,IF(AX8="○",1,2))</f>
        <v>2</v>
      </c>
      <c r="AI61" s="537"/>
      <c r="AJ61" s="537"/>
      <c r="AK61" s="1217" t="s">
        <v>2058</v>
      </c>
      <c r="AL61" s="1217"/>
      <c r="AM61" s="1217"/>
      <c r="AN61" s="1217"/>
      <c r="AO61" s="1217"/>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6" customHeight="1">
      <c r="U62" s="1217" t="s">
        <v>2059</v>
      </c>
      <c r="V62" s="1217"/>
      <c r="W62" s="1217"/>
      <c r="X62" s="1217"/>
      <c r="Y62" s="1217"/>
      <c r="Z62" s="539" t="str">
        <f>IF(AND(B9&lt;&gt;"処遇加算なし",F15=4),IF(V40="✓",1,IF(V41="✓",2,"")),"")</f>
        <v/>
      </c>
      <c r="AA62" s="536"/>
      <c r="AB62" s="537"/>
      <c r="AC62" s="1217" t="s">
        <v>2059</v>
      </c>
      <c r="AD62" s="1217"/>
      <c r="AE62" s="1217"/>
      <c r="AF62" s="1217"/>
      <c r="AG62" s="1217"/>
      <c r="AH62" s="425">
        <f>IF(AND(F15&lt;&gt;4,F15&lt;&gt;5),0,IF(AY8="○",1,2))</f>
        <v>2</v>
      </c>
      <c r="AI62" s="537"/>
      <c r="AJ62" s="537"/>
      <c r="AK62" s="1217" t="s">
        <v>2059</v>
      </c>
      <c r="AL62" s="1217"/>
      <c r="AM62" s="1217"/>
      <c r="AN62" s="1217"/>
      <c r="AO62" s="1217"/>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6"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SUM(事業所個票２!BU51)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139700</xdr:colOff>
                    <xdr:row>20</xdr:row>
                    <xdr:rowOff>19050</xdr:rowOff>
                  </from>
                  <to>
                    <xdr:col>29</xdr:col>
                    <xdr:colOff>120650</xdr:colOff>
                    <xdr:row>21</xdr:row>
                    <xdr:rowOff>12700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139700</xdr:colOff>
                    <xdr:row>21</xdr:row>
                    <xdr:rowOff>12700</xdr:rowOff>
                  </from>
                  <to>
                    <xdr:col>29</xdr:col>
                    <xdr:colOff>120650</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6350</xdr:rowOff>
                  </from>
                  <to>
                    <xdr:col>29</xdr:col>
                    <xdr:colOff>114300</xdr:colOff>
                    <xdr:row>23</xdr:row>
                    <xdr:rowOff>222250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12700</xdr:rowOff>
                  </from>
                  <to>
                    <xdr:col>29</xdr:col>
                    <xdr:colOff>114300</xdr:colOff>
                    <xdr:row>28</xdr:row>
                    <xdr:rowOff>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12700</xdr:rowOff>
                  </from>
                  <to>
                    <xdr:col>37</xdr:col>
                    <xdr:colOff>114300</xdr:colOff>
                    <xdr:row>44</xdr:row>
                    <xdr:rowOff>177800</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6350</xdr:rowOff>
                  </from>
                  <to>
                    <xdr:col>29</xdr:col>
                    <xdr:colOff>114300</xdr:colOff>
                    <xdr:row>32</xdr:row>
                    <xdr:rowOff>25400</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254000</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139700</xdr:colOff>
                    <xdr:row>39</xdr:row>
                    <xdr:rowOff>0</xdr:rowOff>
                  </from>
                  <to>
                    <xdr:col>37</xdr:col>
                    <xdr:colOff>31750</xdr:colOff>
                    <xdr:row>39</xdr:row>
                    <xdr:rowOff>215900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139700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6350</xdr:rowOff>
                  </from>
                  <to>
                    <xdr:col>37</xdr:col>
                    <xdr:colOff>114300</xdr:colOff>
                    <xdr:row>27</xdr:row>
                    <xdr:rowOff>215900</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25400</xdr:rowOff>
                  </from>
                  <to>
                    <xdr:col>37</xdr:col>
                    <xdr:colOff>114300</xdr:colOff>
                    <xdr:row>28</xdr:row>
                    <xdr:rowOff>215900</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254000</xdr:rowOff>
                  </from>
                  <to>
                    <xdr:col>37</xdr:col>
                    <xdr:colOff>101600</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35</xdr:row>
                    <xdr:rowOff>0</xdr:rowOff>
                  </from>
                  <to>
                    <xdr:col>29</xdr:col>
                    <xdr:colOff>31750</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146050</xdr:colOff>
                    <xdr:row>40</xdr:row>
                    <xdr:rowOff>254000</xdr:rowOff>
                  </from>
                  <to>
                    <xdr:col>28</xdr:col>
                    <xdr:colOff>158750</xdr:colOff>
                    <xdr:row>42</xdr:row>
                    <xdr:rowOff>31750</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146050</xdr:colOff>
                    <xdr:row>36</xdr:row>
                    <xdr:rowOff>241300</xdr:rowOff>
                  </from>
                  <to>
                    <xdr:col>37</xdr:col>
                    <xdr:colOff>127000</xdr:colOff>
                    <xdr:row>38</xdr:row>
                    <xdr:rowOff>6350</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6350</xdr:rowOff>
                  </from>
                  <to>
                    <xdr:col>37</xdr:col>
                    <xdr:colOff>114300</xdr:colOff>
                    <xdr:row>32</xdr:row>
                    <xdr:rowOff>12700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6350</xdr:rowOff>
                  </from>
                  <to>
                    <xdr:col>37</xdr:col>
                    <xdr:colOff>101600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7" t="s">
        <v>2325</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532"/>
      <c r="AR2" s="532"/>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9"/>
      <c r="Q5" s="1220"/>
      <c r="R5" s="1220"/>
      <c r="S5" s="1220"/>
      <c r="T5" s="1220"/>
      <c r="U5" s="1220"/>
      <c r="V5" s="1220"/>
      <c r="W5" s="1220"/>
      <c r="X5" s="1221"/>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218" t="str">
        <f>IFERROR(VLOOKUP(Y5,【参考】数式用!$A$5:$AB$37,MATCH(V11,【参考】数式用!$B$4:$AB$4,0)+1,FALSE),"")</f>
        <v/>
      </c>
      <c r="W12" s="1218"/>
      <c r="X12" s="1218"/>
      <c r="Y12" s="1218"/>
      <c r="Z12" s="1218"/>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528"/>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531" t="s">
        <v>2110</v>
      </c>
      <c r="F15" s="54">
        <v>4</v>
      </c>
      <c r="G15" s="531" t="s">
        <v>2111</v>
      </c>
      <c r="H15" s="1153" t="s">
        <v>2112</v>
      </c>
      <c r="I15" s="1153"/>
      <c r="J15" s="1166"/>
      <c r="K15" s="54">
        <v>7</v>
      </c>
      <c r="L15" s="531" t="s">
        <v>2110</v>
      </c>
      <c r="M15" s="54">
        <v>3</v>
      </c>
      <c r="N15" s="531" t="s">
        <v>2111</v>
      </c>
      <c r="O15" s="531" t="s">
        <v>2113</v>
      </c>
      <c r="P15" s="104">
        <f>(K15*12+M15)-(D15*12+F15)+1</f>
        <v>12</v>
      </c>
      <c r="Q15" s="1153" t="s">
        <v>2114</v>
      </c>
      <c r="R15" s="1153"/>
      <c r="S15" s="105" t="s">
        <v>69</v>
      </c>
      <c r="U15" s="528"/>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3"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49999999999999"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530"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49999999999999"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530"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530"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530"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530"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530"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530"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530"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530"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530"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530" t="str">
        <f>IFERROR(IF(G9="特定加算なし","✓",""),"")</f>
        <v/>
      </c>
      <c r="W37" s="1023" t="s">
        <v>15</v>
      </c>
      <c r="X37" s="1024"/>
      <c r="Y37" s="1024"/>
      <c r="Z37" s="1025"/>
      <c r="AA37" s="1042"/>
      <c r="AB37" s="1043"/>
      <c r="AC37" s="1172" t="s">
        <v>2175</v>
      </c>
      <c r="AD37" s="1173"/>
      <c r="AE37" s="1173"/>
      <c r="AF37" s="1173"/>
      <c r="AG37" s="1174"/>
      <c r="AH37" s="1175"/>
      <c r="AI37" s="1042"/>
      <c r="AJ37" s="1043"/>
      <c r="AK37" s="1172" t="s">
        <v>2175</v>
      </c>
      <c r="AL37" s="1173"/>
      <c r="AM37" s="1173"/>
      <c r="AN37" s="1173"/>
      <c r="AO37" s="1174"/>
      <c r="AP37" s="1175"/>
      <c r="AS37" s="999"/>
      <c r="AT37" s="1000"/>
      <c r="AU37" s="1000"/>
      <c r="AV37" s="1000"/>
      <c r="AW37" s="1000"/>
      <c r="AX37" s="1000"/>
      <c r="AY37" s="1000"/>
      <c r="AZ37" s="1000"/>
      <c r="BA37" s="1000"/>
      <c r="BB37" s="1000"/>
      <c r="BC37" s="1000"/>
      <c r="BD37" s="1000"/>
      <c r="BE37" s="1000"/>
      <c r="BF37" s="1000"/>
      <c r="BG37" s="1000"/>
      <c r="BH37" s="1001"/>
    </row>
    <row r="38" spans="2:82" ht="17.149999999999999"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530"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530"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49999999999999"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529"/>
      <c r="AB42" s="529"/>
      <c r="AC42" s="136"/>
      <c r="AD42" s="1015" t="s">
        <v>15</v>
      </c>
      <c r="AE42" s="1015"/>
      <c r="AF42" s="1015"/>
      <c r="AG42" s="1015"/>
      <c r="AH42" s="1015"/>
      <c r="AI42" s="529"/>
      <c r="AJ42" s="529"/>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530"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49999999999999"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530"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176" t="s">
        <v>2202</v>
      </c>
      <c r="AT56" s="1176"/>
      <c r="AU56" s="1176"/>
      <c r="AV56" s="1176"/>
      <c r="AW56" s="1176" t="s">
        <v>2201</v>
      </c>
      <c r="AX56" s="1176"/>
      <c r="AY56" s="1176"/>
      <c r="AZ56" s="1176"/>
    </row>
    <row r="57" spans="2:86" ht="16"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6" customHeight="1">
      <c r="U58" s="1217" t="s">
        <v>2055</v>
      </c>
      <c r="V58" s="1217"/>
      <c r="W58" s="1217"/>
      <c r="X58" s="1217"/>
      <c r="Y58" s="1217"/>
      <c r="Z58" s="539" t="str">
        <f>IF(AND(B9&lt;&gt;"処遇加算なし",F15=4),IF(V24="✓",1,IF(V25="✓",2,IF(V26="✓",3,""))),"")</f>
        <v/>
      </c>
      <c r="AA58" s="536"/>
      <c r="AB58" s="537"/>
      <c r="AC58" s="1217" t="s">
        <v>2055</v>
      </c>
      <c r="AD58" s="1217"/>
      <c r="AE58" s="1217"/>
      <c r="AF58" s="1217"/>
      <c r="AG58" s="1217"/>
      <c r="AH58" s="425">
        <f>IF(AND(F15&lt;&gt;4,F15&lt;&gt;5),0,IF(AU8="○",1,3))</f>
        <v>3</v>
      </c>
      <c r="AI58" s="537"/>
      <c r="AJ58" s="537"/>
      <c r="AK58" s="1217" t="s">
        <v>2055</v>
      </c>
      <c r="AL58" s="1217"/>
      <c r="AM58" s="1217"/>
      <c r="AN58" s="1217"/>
      <c r="AO58" s="1217"/>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6" customHeight="1">
      <c r="U59" s="1217" t="s">
        <v>2056</v>
      </c>
      <c r="V59" s="1217"/>
      <c r="W59" s="1217"/>
      <c r="X59" s="1217"/>
      <c r="Y59" s="1217"/>
      <c r="Z59" s="539" t="str">
        <f>IF(AND(B9&lt;&gt;"処遇加算なし",F15=4),IF(V28="✓",1,IF(V29="✓",2,IF(V30="✓",3,""))),"")</f>
        <v/>
      </c>
      <c r="AA59" s="536"/>
      <c r="AB59" s="537"/>
      <c r="AC59" s="1217" t="s">
        <v>2056</v>
      </c>
      <c r="AD59" s="1217"/>
      <c r="AE59" s="1217"/>
      <c r="AF59" s="1217"/>
      <c r="AG59" s="1217"/>
      <c r="AH59" s="425">
        <f>IF(AND(F15&lt;&gt;4,F15&lt;&gt;5),0,IF(AV8="○",1,3))</f>
        <v>3</v>
      </c>
      <c r="AI59" s="537"/>
      <c r="AJ59" s="537"/>
      <c r="AK59" s="1217" t="s">
        <v>2056</v>
      </c>
      <c r="AL59" s="1217"/>
      <c r="AM59" s="1217"/>
      <c r="AN59" s="1217"/>
      <c r="AO59" s="1217"/>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6" customHeight="1">
      <c r="U60" s="1217" t="s">
        <v>2057</v>
      </c>
      <c r="V60" s="1217"/>
      <c r="W60" s="1217"/>
      <c r="X60" s="1217"/>
      <c r="Y60" s="1217"/>
      <c r="Z60" s="539" t="str">
        <f>IF(AND(B9&lt;&gt;"処遇加算なし",F15=4),IF(V32="✓",1,IF(V33="✓",2,"")),"")</f>
        <v/>
      </c>
      <c r="AA60" s="536"/>
      <c r="AB60" s="537"/>
      <c r="AC60" s="1217" t="s">
        <v>2057</v>
      </c>
      <c r="AD60" s="1217"/>
      <c r="AE60" s="1217"/>
      <c r="AF60" s="1217"/>
      <c r="AG60" s="1217"/>
      <c r="AH60" s="425">
        <f>IF(AND(F15&lt;&gt;4,F15&lt;&gt;5),0,IF(AW8="○",1,3))</f>
        <v>3</v>
      </c>
      <c r="AI60" s="537"/>
      <c r="AJ60" s="537"/>
      <c r="AK60" s="1217" t="s">
        <v>2057</v>
      </c>
      <c r="AL60" s="1217"/>
      <c r="AM60" s="1217"/>
      <c r="AN60" s="1217"/>
      <c r="AO60" s="1217"/>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6" customHeight="1">
      <c r="U61" s="1217" t="s">
        <v>2058</v>
      </c>
      <c r="V61" s="1217"/>
      <c r="W61" s="1217"/>
      <c r="X61" s="1217"/>
      <c r="Y61" s="1217"/>
      <c r="Z61" s="539" t="str">
        <f>IF(AND(B9&lt;&gt;"処遇加算なし",F15=4),IF(V36="✓",1,IF(V37="✓",2,"")),"")</f>
        <v/>
      </c>
      <c r="AA61" s="536"/>
      <c r="AB61" s="537"/>
      <c r="AC61" s="1217" t="s">
        <v>2058</v>
      </c>
      <c r="AD61" s="1217"/>
      <c r="AE61" s="1217"/>
      <c r="AF61" s="1217"/>
      <c r="AG61" s="1217"/>
      <c r="AH61" s="425">
        <f>IF(AND(F15&lt;&gt;4,F15&lt;&gt;5),0,IF(AX8="○",1,2))</f>
        <v>2</v>
      </c>
      <c r="AI61" s="537"/>
      <c r="AJ61" s="537"/>
      <c r="AK61" s="1217" t="s">
        <v>2058</v>
      </c>
      <c r="AL61" s="1217"/>
      <c r="AM61" s="1217"/>
      <c r="AN61" s="1217"/>
      <c r="AO61" s="1217"/>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6" customHeight="1">
      <c r="U62" s="1217" t="s">
        <v>2059</v>
      </c>
      <c r="V62" s="1217"/>
      <c r="W62" s="1217"/>
      <c r="X62" s="1217"/>
      <c r="Y62" s="1217"/>
      <c r="Z62" s="539" t="str">
        <f>IF(AND(B9&lt;&gt;"処遇加算なし",F15=4),IF(V40="✓",1,IF(V41="✓",2,"")),"")</f>
        <v/>
      </c>
      <c r="AA62" s="536"/>
      <c r="AB62" s="537"/>
      <c r="AC62" s="1217" t="s">
        <v>2059</v>
      </c>
      <c r="AD62" s="1217"/>
      <c r="AE62" s="1217"/>
      <c r="AF62" s="1217"/>
      <c r="AG62" s="1217"/>
      <c r="AH62" s="425">
        <f>IF(AND(F15&lt;&gt;4,F15&lt;&gt;5),0,IF(AY8="○",1,2))</f>
        <v>2</v>
      </c>
      <c r="AI62" s="537"/>
      <c r="AJ62" s="537"/>
      <c r="AK62" s="1217" t="s">
        <v>2059</v>
      </c>
      <c r="AL62" s="1217"/>
      <c r="AM62" s="1217"/>
      <c r="AN62" s="1217"/>
      <c r="AO62" s="1217"/>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6"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SUM(事業所個票３!BU51)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139700</xdr:colOff>
                    <xdr:row>20</xdr:row>
                    <xdr:rowOff>19050</xdr:rowOff>
                  </from>
                  <to>
                    <xdr:col>29</xdr:col>
                    <xdr:colOff>120650</xdr:colOff>
                    <xdr:row>21</xdr:row>
                    <xdr:rowOff>12700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139700</xdr:colOff>
                    <xdr:row>21</xdr:row>
                    <xdr:rowOff>12700</xdr:rowOff>
                  </from>
                  <to>
                    <xdr:col>29</xdr:col>
                    <xdr:colOff>120650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6350</xdr:rowOff>
                  </from>
                  <to>
                    <xdr:col>29</xdr:col>
                    <xdr:colOff>114300</xdr:colOff>
                    <xdr:row>23</xdr:row>
                    <xdr:rowOff>222250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12700</xdr:rowOff>
                  </from>
                  <to>
                    <xdr:col>29</xdr:col>
                    <xdr:colOff>114300</xdr:colOff>
                    <xdr:row>28</xdr:row>
                    <xdr:rowOff>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12700</xdr:rowOff>
                  </from>
                  <to>
                    <xdr:col>37</xdr:col>
                    <xdr:colOff>114300</xdr:colOff>
                    <xdr:row>44</xdr:row>
                    <xdr:rowOff>177800</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6350</xdr:rowOff>
                  </from>
                  <to>
                    <xdr:col>29</xdr:col>
                    <xdr:colOff>114300</xdr:colOff>
                    <xdr:row>32</xdr:row>
                    <xdr:rowOff>25400</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254000</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139700</xdr:colOff>
                    <xdr:row>39</xdr:row>
                    <xdr:rowOff>0</xdr:rowOff>
                  </from>
                  <to>
                    <xdr:col>37</xdr:col>
                    <xdr:colOff>31750</xdr:colOff>
                    <xdr:row>39</xdr:row>
                    <xdr:rowOff>215900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139700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6350</xdr:rowOff>
                  </from>
                  <to>
                    <xdr:col>37</xdr:col>
                    <xdr:colOff>114300</xdr:colOff>
                    <xdr:row>27</xdr:row>
                    <xdr:rowOff>215900</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25400</xdr:rowOff>
                  </from>
                  <to>
                    <xdr:col>37</xdr:col>
                    <xdr:colOff>114300</xdr:colOff>
                    <xdr:row>28</xdr:row>
                    <xdr:rowOff>215900</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254000</xdr:rowOff>
                  </from>
                  <to>
                    <xdr:col>37</xdr:col>
                    <xdr:colOff>101600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35</xdr:row>
                    <xdr:rowOff>0</xdr:rowOff>
                  </from>
                  <to>
                    <xdr:col>29</xdr:col>
                    <xdr:colOff>31750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146050</xdr:colOff>
                    <xdr:row>40</xdr:row>
                    <xdr:rowOff>254000</xdr:rowOff>
                  </from>
                  <to>
                    <xdr:col>28</xdr:col>
                    <xdr:colOff>158750</xdr:colOff>
                    <xdr:row>42</xdr:row>
                    <xdr:rowOff>31750</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146050</xdr:colOff>
                    <xdr:row>36</xdr:row>
                    <xdr:rowOff>241300</xdr:rowOff>
                  </from>
                  <to>
                    <xdr:col>37</xdr:col>
                    <xdr:colOff>127000</xdr:colOff>
                    <xdr:row>38</xdr:row>
                    <xdr:rowOff>6350</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6350</xdr:rowOff>
                  </from>
                  <to>
                    <xdr:col>37</xdr:col>
                    <xdr:colOff>114300</xdr:colOff>
                    <xdr:row>32</xdr:row>
                    <xdr:rowOff>12700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6350</xdr:rowOff>
                  </from>
                  <to>
                    <xdr:col>37</xdr:col>
                    <xdr:colOff>101600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7" t="s">
        <v>2326</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430"/>
      <c r="AR2" s="430"/>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9"/>
      <c r="Q5" s="1220"/>
      <c r="R5" s="1220"/>
      <c r="S5" s="1220"/>
      <c r="T5" s="1220"/>
      <c r="U5" s="1220"/>
      <c r="V5" s="1220"/>
      <c r="W5" s="1220"/>
      <c r="X5" s="1221"/>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218" t="str">
        <f>IFERROR(VLOOKUP(Y5,【参考】数式用!$A$5:$AB$37,MATCH(V11,【参考】数式用!$B$4:$AB$4,0)+1,FALSE),"")</f>
        <v/>
      </c>
      <c r="W12" s="1218"/>
      <c r="X12" s="1218"/>
      <c r="Y12" s="1218"/>
      <c r="Z12" s="1218"/>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426"/>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429" t="s">
        <v>2110</v>
      </c>
      <c r="F15" s="54">
        <v>4</v>
      </c>
      <c r="G15" s="429" t="s">
        <v>2111</v>
      </c>
      <c r="H15" s="1153" t="s">
        <v>2112</v>
      </c>
      <c r="I15" s="1153"/>
      <c r="J15" s="1166"/>
      <c r="K15" s="54">
        <v>7</v>
      </c>
      <c r="L15" s="429" t="s">
        <v>2110</v>
      </c>
      <c r="M15" s="54">
        <v>3</v>
      </c>
      <c r="N15" s="429" t="s">
        <v>2111</v>
      </c>
      <c r="O15" s="429" t="s">
        <v>2113</v>
      </c>
      <c r="P15" s="104">
        <f>(K15*12+M15)-(D15*12+F15)+1</f>
        <v>12</v>
      </c>
      <c r="Q15" s="1153" t="s">
        <v>2114</v>
      </c>
      <c r="R15" s="1153"/>
      <c r="S15" s="105" t="s">
        <v>69</v>
      </c>
      <c r="U15" s="426"/>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3"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49999999999999"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428"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49999999999999"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428"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428"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428"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428"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428"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428"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428"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428"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428"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428" t="str">
        <f>IFERROR(IF(G9="特定加算なし","✓",""),"")</f>
        <v/>
      </c>
      <c r="W37" s="1023" t="s">
        <v>15</v>
      </c>
      <c r="X37" s="1024"/>
      <c r="Y37" s="1024"/>
      <c r="Z37" s="1025"/>
      <c r="AA37" s="1042"/>
      <c r="AB37" s="1043"/>
      <c r="AC37" s="1172" t="s">
        <v>2175</v>
      </c>
      <c r="AD37" s="1173"/>
      <c r="AE37" s="1173"/>
      <c r="AF37" s="1173"/>
      <c r="AG37" s="1174"/>
      <c r="AH37" s="1175"/>
      <c r="AI37" s="1042"/>
      <c r="AJ37" s="1043"/>
      <c r="AK37" s="1172" t="s">
        <v>2175</v>
      </c>
      <c r="AL37" s="1173"/>
      <c r="AM37" s="1173"/>
      <c r="AN37" s="1173"/>
      <c r="AO37" s="1174"/>
      <c r="AP37" s="1175"/>
      <c r="AS37" s="999"/>
      <c r="AT37" s="1000"/>
      <c r="AU37" s="1000"/>
      <c r="AV37" s="1000"/>
      <c r="AW37" s="1000"/>
      <c r="AX37" s="1000"/>
      <c r="AY37" s="1000"/>
      <c r="AZ37" s="1000"/>
      <c r="BA37" s="1000"/>
      <c r="BB37" s="1000"/>
      <c r="BC37" s="1000"/>
      <c r="BD37" s="1000"/>
      <c r="BE37" s="1000"/>
      <c r="BF37" s="1000"/>
      <c r="BG37" s="1000"/>
      <c r="BH37" s="1001"/>
    </row>
    <row r="38" spans="2:82" ht="17.149999999999999"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428"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428"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49999999999999"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427"/>
      <c r="AB42" s="427"/>
      <c r="AC42" s="136"/>
      <c r="AD42" s="1015" t="s">
        <v>15</v>
      </c>
      <c r="AE42" s="1015"/>
      <c r="AF42" s="1015"/>
      <c r="AG42" s="1015"/>
      <c r="AH42" s="1015"/>
      <c r="AI42" s="427"/>
      <c r="AJ42" s="427"/>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428"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49999999999999"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428"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176" t="s">
        <v>2202</v>
      </c>
      <c r="AT56" s="1176"/>
      <c r="AU56" s="1176"/>
      <c r="AV56" s="1176"/>
      <c r="AW56" s="1176" t="s">
        <v>2201</v>
      </c>
      <c r="AX56" s="1176"/>
      <c r="AY56" s="1176"/>
      <c r="AZ56" s="1176"/>
    </row>
    <row r="57" spans="2:86" ht="16"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6" customHeight="1">
      <c r="U58" s="1217" t="s">
        <v>2055</v>
      </c>
      <c r="V58" s="1217"/>
      <c r="W58" s="1217"/>
      <c r="X58" s="1217"/>
      <c r="Y58" s="1217"/>
      <c r="Z58" s="539" t="str">
        <f>IF(AND(B9&lt;&gt;"処遇加算なし",F15=4),IF(V24="✓",1,IF(V25="✓",2,IF(V26="✓",3,""))),"")</f>
        <v/>
      </c>
      <c r="AA58" s="536"/>
      <c r="AB58" s="537"/>
      <c r="AC58" s="1217" t="s">
        <v>2055</v>
      </c>
      <c r="AD58" s="1217"/>
      <c r="AE58" s="1217"/>
      <c r="AF58" s="1217"/>
      <c r="AG58" s="1217"/>
      <c r="AH58" s="425">
        <f>IF(AND(F15&lt;&gt;4,F15&lt;&gt;5),0,IF(AU8="○",1,3))</f>
        <v>3</v>
      </c>
      <c r="AI58" s="537"/>
      <c r="AJ58" s="537"/>
      <c r="AK58" s="1217" t="s">
        <v>2055</v>
      </c>
      <c r="AL58" s="1217"/>
      <c r="AM58" s="1217"/>
      <c r="AN58" s="1217"/>
      <c r="AO58" s="1217"/>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6" customHeight="1">
      <c r="U59" s="1217" t="s">
        <v>2056</v>
      </c>
      <c r="V59" s="1217"/>
      <c r="W59" s="1217"/>
      <c r="X59" s="1217"/>
      <c r="Y59" s="1217"/>
      <c r="Z59" s="539" t="str">
        <f>IF(AND(B9&lt;&gt;"処遇加算なし",F15=4),IF(V28="✓",1,IF(V29="✓",2,IF(V30="✓",3,""))),"")</f>
        <v/>
      </c>
      <c r="AA59" s="536"/>
      <c r="AB59" s="537"/>
      <c r="AC59" s="1217" t="s">
        <v>2056</v>
      </c>
      <c r="AD59" s="1217"/>
      <c r="AE59" s="1217"/>
      <c r="AF59" s="1217"/>
      <c r="AG59" s="1217"/>
      <c r="AH59" s="425">
        <f>IF(AND(F15&lt;&gt;4,F15&lt;&gt;5),0,IF(AV8="○",1,3))</f>
        <v>3</v>
      </c>
      <c r="AI59" s="537"/>
      <c r="AJ59" s="537"/>
      <c r="AK59" s="1217" t="s">
        <v>2056</v>
      </c>
      <c r="AL59" s="1217"/>
      <c r="AM59" s="1217"/>
      <c r="AN59" s="1217"/>
      <c r="AO59" s="1217"/>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6" customHeight="1">
      <c r="U60" s="1217" t="s">
        <v>2057</v>
      </c>
      <c r="V60" s="1217"/>
      <c r="W60" s="1217"/>
      <c r="X60" s="1217"/>
      <c r="Y60" s="1217"/>
      <c r="Z60" s="539" t="str">
        <f>IF(AND(B9&lt;&gt;"処遇加算なし",F15=4),IF(V32="✓",1,IF(V33="✓",2,"")),"")</f>
        <v/>
      </c>
      <c r="AA60" s="536"/>
      <c r="AB60" s="537"/>
      <c r="AC60" s="1217" t="s">
        <v>2057</v>
      </c>
      <c r="AD60" s="1217"/>
      <c r="AE60" s="1217"/>
      <c r="AF60" s="1217"/>
      <c r="AG60" s="1217"/>
      <c r="AH60" s="425">
        <f>IF(AND(F15&lt;&gt;4,F15&lt;&gt;5),0,IF(AW8="○",1,3))</f>
        <v>3</v>
      </c>
      <c r="AI60" s="537"/>
      <c r="AJ60" s="537"/>
      <c r="AK60" s="1217" t="s">
        <v>2057</v>
      </c>
      <c r="AL60" s="1217"/>
      <c r="AM60" s="1217"/>
      <c r="AN60" s="1217"/>
      <c r="AO60" s="1217"/>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6" customHeight="1">
      <c r="U61" s="1217" t="s">
        <v>2058</v>
      </c>
      <c r="V61" s="1217"/>
      <c r="W61" s="1217"/>
      <c r="X61" s="1217"/>
      <c r="Y61" s="1217"/>
      <c r="Z61" s="539" t="str">
        <f>IF(AND(B9&lt;&gt;"処遇加算なし",F15=4),IF(V36="✓",1,IF(V37="✓",2,"")),"")</f>
        <v/>
      </c>
      <c r="AA61" s="536"/>
      <c r="AB61" s="537"/>
      <c r="AC61" s="1217" t="s">
        <v>2058</v>
      </c>
      <c r="AD61" s="1217"/>
      <c r="AE61" s="1217"/>
      <c r="AF61" s="1217"/>
      <c r="AG61" s="1217"/>
      <c r="AH61" s="425">
        <f>IF(AND(F15&lt;&gt;4,F15&lt;&gt;5),0,IF(AX8="○",1,2))</f>
        <v>2</v>
      </c>
      <c r="AI61" s="537"/>
      <c r="AJ61" s="537"/>
      <c r="AK61" s="1217" t="s">
        <v>2058</v>
      </c>
      <c r="AL61" s="1217"/>
      <c r="AM61" s="1217"/>
      <c r="AN61" s="1217"/>
      <c r="AO61" s="1217"/>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6" customHeight="1">
      <c r="U62" s="1217" t="s">
        <v>2059</v>
      </c>
      <c r="V62" s="1217"/>
      <c r="W62" s="1217"/>
      <c r="X62" s="1217"/>
      <c r="Y62" s="1217"/>
      <c r="Z62" s="539" t="str">
        <f>IF(AND(B9&lt;&gt;"処遇加算なし",F15=4),IF(V40="✓",1,IF(V41="✓",2,"")),"")</f>
        <v/>
      </c>
      <c r="AA62" s="536"/>
      <c r="AB62" s="537"/>
      <c r="AC62" s="1217" t="s">
        <v>2059</v>
      </c>
      <c r="AD62" s="1217"/>
      <c r="AE62" s="1217"/>
      <c r="AF62" s="1217"/>
      <c r="AG62" s="1217"/>
      <c r="AH62" s="425">
        <f>IF(AND(F15&lt;&gt;4,F15&lt;&gt;5),0,IF(AY8="○",1,2))</f>
        <v>2</v>
      </c>
      <c r="AI62" s="537"/>
      <c r="AJ62" s="537"/>
      <c r="AK62" s="1217" t="s">
        <v>2059</v>
      </c>
      <c r="AL62" s="1217"/>
      <c r="AM62" s="1217"/>
      <c r="AN62" s="1217"/>
      <c r="AO62" s="1217"/>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6"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SUM(事業所個票４!BU51)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139700</xdr:colOff>
                    <xdr:row>20</xdr:row>
                    <xdr:rowOff>19050</xdr:rowOff>
                  </from>
                  <to>
                    <xdr:col>29</xdr:col>
                    <xdr:colOff>120650</xdr:colOff>
                    <xdr:row>21</xdr:row>
                    <xdr:rowOff>12700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139700</xdr:colOff>
                    <xdr:row>21</xdr:row>
                    <xdr:rowOff>12700</xdr:rowOff>
                  </from>
                  <to>
                    <xdr:col>29</xdr:col>
                    <xdr:colOff>120650</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6350</xdr:rowOff>
                  </from>
                  <to>
                    <xdr:col>29</xdr:col>
                    <xdr:colOff>114300</xdr:colOff>
                    <xdr:row>23</xdr:row>
                    <xdr:rowOff>222250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12700</xdr:rowOff>
                  </from>
                  <to>
                    <xdr:col>29</xdr:col>
                    <xdr:colOff>114300</xdr:colOff>
                    <xdr:row>28</xdr:row>
                    <xdr:rowOff>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12700</xdr:rowOff>
                  </from>
                  <to>
                    <xdr:col>37</xdr:col>
                    <xdr:colOff>114300</xdr:colOff>
                    <xdr:row>44</xdr:row>
                    <xdr:rowOff>177800</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6350</xdr:rowOff>
                  </from>
                  <to>
                    <xdr:col>29</xdr:col>
                    <xdr:colOff>114300</xdr:colOff>
                    <xdr:row>32</xdr:row>
                    <xdr:rowOff>25400</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254000</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139700</xdr:colOff>
                    <xdr:row>39</xdr:row>
                    <xdr:rowOff>0</xdr:rowOff>
                  </from>
                  <to>
                    <xdr:col>37</xdr:col>
                    <xdr:colOff>31750</xdr:colOff>
                    <xdr:row>39</xdr:row>
                    <xdr:rowOff>215900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139700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6350</xdr:rowOff>
                  </from>
                  <to>
                    <xdr:col>37</xdr:col>
                    <xdr:colOff>114300</xdr:colOff>
                    <xdr:row>27</xdr:row>
                    <xdr:rowOff>215900</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25400</xdr:rowOff>
                  </from>
                  <to>
                    <xdr:col>37</xdr:col>
                    <xdr:colOff>114300</xdr:colOff>
                    <xdr:row>28</xdr:row>
                    <xdr:rowOff>215900</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254000</xdr:rowOff>
                  </from>
                  <to>
                    <xdr:col>37</xdr:col>
                    <xdr:colOff>101600</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35</xdr:row>
                    <xdr:rowOff>0</xdr:rowOff>
                  </from>
                  <to>
                    <xdr:col>29</xdr:col>
                    <xdr:colOff>31750</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146050</xdr:colOff>
                    <xdr:row>40</xdr:row>
                    <xdr:rowOff>254000</xdr:rowOff>
                  </from>
                  <to>
                    <xdr:col>28</xdr:col>
                    <xdr:colOff>158750</xdr:colOff>
                    <xdr:row>42</xdr:row>
                    <xdr:rowOff>31750</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146050</xdr:colOff>
                    <xdr:row>36</xdr:row>
                    <xdr:rowOff>241300</xdr:rowOff>
                  </from>
                  <to>
                    <xdr:col>37</xdr:col>
                    <xdr:colOff>127000</xdr:colOff>
                    <xdr:row>38</xdr:row>
                    <xdr:rowOff>6350</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6350</xdr:rowOff>
                  </from>
                  <to>
                    <xdr:col>37</xdr:col>
                    <xdr:colOff>114300</xdr:colOff>
                    <xdr:row>32</xdr:row>
                    <xdr:rowOff>12700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6350</xdr:rowOff>
                  </from>
                  <to>
                    <xdr:col>37</xdr:col>
                    <xdr:colOff>101600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7" t="s">
        <v>2327</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436"/>
      <c r="AR2" s="436"/>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9"/>
      <c r="Q5" s="1220"/>
      <c r="R5" s="1220"/>
      <c r="S5" s="1220"/>
      <c r="T5" s="1220"/>
      <c r="U5" s="1220"/>
      <c r="V5" s="1220"/>
      <c r="W5" s="1220"/>
      <c r="X5" s="1221"/>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218" t="str">
        <f>IFERROR(VLOOKUP(Y5,【参考】数式用!$A$5:$AB$37,MATCH(V11,【参考】数式用!$B$4:$AB$4,0)+1,FALSE),"")</f>
        <v/>
      </c>
      <c r="W12" s="1218"/>
      <c r="X12" s="1218"/>
      <c r="Y12" s="1218"/>
      <c r="Z12" s="1218"/>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434"/>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437" t="s">
        <v>2110</v>
      </c>
      <c r="F15" s="54">
        <v>4</v>
      </c>
      <c r="G15" s="437" t="s">
        <v>2111</v>
      </c>
      <c r="H15" s="1153" t="s">
        <v>2112</v>
      </c>
      <c r="I15" s="1153"/>
      <c r="J15" s="1166"/>
      <c r="K15" s="54">
        <v>7</v>
      </c>
      <c r="L15" s="437" t="s">
        <v>2110</v>
      </c>
      <c r="M15" s="54">
        <v>3</v>
      </c>
      <c r="N15" s="437" t="s">
        <v>2111</v>
      </c>
      <c r="O15" s="437" t="s">
        <v>2113</v>
      </c>
      <c r="P15" s="104">
        <f>(K15*12+M15)-(D15*12+F15)+1</f>
        <v>12</v>
      </c>
      <c r="Q15" s="1153" t="s">
        <v>2114</v>
      </c>
      <c r="R15" s="1153"/>
      <c r="S15" s="105" t="s">
        <v>69</v>
      </c>
      <c r="U15" s="434"/>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3"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49999999999999"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438"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49999999999999"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438"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438"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438"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438"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438"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438"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438"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438"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438"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438" t="str">
        <f>IFERROR(IF(G9="特定加算なし","✓",""),"")</f>
        <v/>
      </c>
      <c r="W37" s="1023" t="s">
        <v>15</v>
      </c>
      <c r="X37" s="1024"/>
      <c r="Y37" s="1024"/>
      <c r="Z37" s="1025"/>
      <c r="AA37" s="1042"/>
      <c r="AB37" s="1043"/>
      <c r="AC37" s="1172" t="s">
        <v>2175</v>
      </c>
      <c r="AD37" s="1173"/>
      <c r="AE37" s="1173"/>
      <c r="AF37" s="1173"/>
      <c r="AG37" s="1174"/>
      <c r="AH37" s="1175"/>
      <c r="AI37" s="1042"/>
      <c r="AJ37" s="1043"/>
      <c r="AK37" s="1172" t="s">
        <v>2175</v>
      </c>
      <c r="AL37" s="1173"/>
      <c r="AM37" s="1173"/>
      <c r="AN37" s="1173"/>
      <c r="AO37" s="1174"/>
      <c r="AP37" s="1175"/>
      <c r="AS37" s="999"/>
      <c r="AT37" s="1000"/>
      <c r="AU37" s="1000"/>
      <c r="AV37" s="1000"/>
      <c r="AW37" s="1000"/>
      <c r="AX37" s="1000"/>
      <c r="AY37" s="1000"/>
      <c r="AZ37" s="1000"/>
      <c r="BA37" s="1000"/>
      <c r="BB37" s="1000"/>
      <c r="BC37" s="1000"/>
      <c r="BD37" s="1000"/>
      <c r="BE37" s="1000"/>
      <c r="BF37" s="1000"/>
      <c r="BG37" s="1000"/>
      <c r="BH37" s="1001"/>
    </row>
    <row r="38" spans="2:82" ht="17.149999999999999"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438"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438"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49999999999999"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435"/>
      <c r="AB42" s="435"/>
      <c r="AC42" s="136"/>
      <c r="AD42" s="1015" t="s">
        <v>15</v>
      </c>
      <c r="AE42" s="1015"/>
      <c r="AF42" s="1015"/>
      <c r="AG42" s="1015"/>
      <c r="AH42" s="1015"/>
      <c r="AI42" s="435"/>
      <c r="AJ42" s="435"/>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438"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49999999999999"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438"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176" t="s">
        <v>2202</v>
      </c>
      <c r="AT56" s="1176"/>
      <c r="AU56" s="1176"/>
      <c r="AV56" s="1176"/>
      <c r="AW56" s="1176" t="s">
        <v>2201</v>
      </c>
      <c r="AX56" s="1176"/>
      <c r="AY56" s="1176"/>
      <c r="AZ56" s="1176"/>
    </row>
    <row r="57" spans="2:86" ht="16"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6" customHeight="1">
      <c r="U58" s="1217" t="s">
        <v>2055</v>
      </c>
      <c r="V58" s="1217"/>
      <c r="W58" s="1217"/>
      <c r="X58" s="1217"/>
      <c r="Y58" s="1217"/>
      <c r="Z58" s="539" t="str">
        <f>IF(AND(B9&lt;&gt;"処遇加算なし",F15=4),IF(V24="✓",1,IF(V25="✓",2,IF(V26="✓",3,""))),"")</f>
        <v/>
      </c>
      <c r="AA58" s="536"/>
      <c r="AB58" s="537"/>
      <c r="AC58" s="1217" t="s">
        <v>2055</v>
      </c>
      <c r="AD58" s="1217"/>
      <c r="AE58" s="1217"/>
      <c r="AF58" s="1217"/>
      <c r="AG58" s="1217"/>
      <c r="AH58" s="425">
        <f>IF(AND(F15&lt;&gt;4,F15&lt;&gt;5),0,IF(AU8="○",1,3))</f>
        <v>3</v>
      </c>
      <c r="AI58" s="537"/>
      <c r="AJ58" s="537"/>
      <c r="AK58" s="1217" t="s">
        <v>2055</v>
      </c>
      <c r="AL58" s="1217"/>
      <c r="AM58" s="1217"/>
      <c r="AN58" s="1217"/>
      <c r="AO58" s="1217"/>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6" customHeight="1">
      <c r="U59" s="1217" t="s">
        <v>2056</v>
      </c>
      <c r="V59" s="1217"/>
      <c r="W59" s="1217"/>
      <c r="X59" s="1217"/>
      <c r="Y59" s="1217"/>
      <c r="Z59" s="539" t="str">
        <f>IF(AND(B9&lt;&gt;"処遇加算なし",F15=4),IF(V28="✓",1,IF(V29="✓",2,IF(V30="✓",3,""))),"")</f>
        <v/>
      </c>
      <c r="AA59" s="536"/>
      <c r="AB59" s="537"/>
      <c r="AC59" s="1217" t="s">
        <v>2056</v>
      </c>
      <c r="AD59" s="1217"/>
      <c r="AE59" s="1217"/>
      <c r="AF59" s="1217"/>
      <c r="AG59" s="1217"/>
      <c r="AH59" s="425">
        <f>IF(AND(F15&lt;&gt;4,F15&lt;&gt;5),0,IF(AV8="○",1,3))</f>
        <v>3</v>
      </c>
      <c r="AI59" s="537"/>
      <c r="AJ59" s="537"/>
      <c r="AK59" s="1217" t="s">
        <v>2056</v>
      </c>
      <c r="AL59" s="1217"/>
      <c r="AM59" s="1217"/>
      <c r="AN59" s="1217"/>
      <c r="AO59" s="1217"/>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6" customHeight="1">
      <c r="U60" s="1217" t="s">
        <v>2057</v>
      </c>
      <c r="V60" s="1217"/>
      <c r="W60" s="1217"/>
      <c r="X60" s="1217"/>
      <c r="Y60" s="1217"/>
      <c r="Z60" s="539" t="str">
        <f>IF(AND(B9&lt;&gt;"処遇加算なし",F15=4),IF(V32="✓",1,IF(V33="✓",2,"")),"")</f>
        <v/>
      </c>
      <c r="AA60" s="536"/>
      <c r="AB60" s="537"/>
      <c r="AC60" s="1217" t="s">
        <v>2057</v>
      </c>
      <c r="AD60" s="1217"/>
      <c r="AE60" s="1217"/>
      <c r="AF60" s="1217"/>
      <c r="AG60" s="1217"/>
      <c r="AH60" s="425">
        <f>IF(AND(F15&lt;&gt;4,F15&lt;&gt;5),0,IF(AW8="○",1,3))</f>
        <v>3</v>
      </c>
      <c r="AI60" s="537"/>
      <c r="AJ60" s="537"/>
      <c r="AK60" s="1217" t="s">
        <v>2057</v>
      </c>
      <c r="AL60" s="1217"/>
      <c r="AM60" s="1217"/>
      <c r="AN60" s="1217"/>
      <c r="AO60" s="1217"/>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6" customHeight="1">
      <c r="U61" s="1217" t="s">
        <v>2058</v>
      </c>
      <c r="V61" s="1217"/>
      <c r="W61" s="1217"/>
      <c r="X61" s="1217"/>
      <c r="Y61" s="1217"/>
      <c r="Z61" s="539" t="str">
        <f>IF(AND(B9&lt;&gt;"処遇加算なし",F15=4),IF(V36="✓",1,IF(V37="✓",2,"")),"")</f>
        <v/>
      </c>
      <c r="AA61" s="536"/>
      <c r="AB61" s="537"/>
      <c r="AC61" s="1217" t="s">
        <v>2058</v>
      </c>
      <c r="AD61" s="1217"/>
      <c r="AE61" s="1217"/>
      <c r="AF61" s="1217"/>
      <c r="AG61" s="1217"/>
      <c r="AH61" s="425">
        <f>IF(AND(F15&lt;&gt;4,F15&lt;&gt;5),0,IF(AX8="○",1,2))</f>
        <v>2</v>
      </c>
      <c r="AI61" s="537"/>
      <c r="AJ61" s="537"/>
      <c r="AK61" s="1217" t="s">
        <v>2058</v>
      </c>
      <c r="AL61" s="1217"/>
      <c r="AM61" s="1217"/>
      <c r="AN61" s="1217"/>
      <c r="AO61" s="1217"/>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6" customHeight="1">
      <c r="U62" s="1217" t="s">
        <v>2059</v>
      </c>
      <c r="V62" s="1217"/>
      <c r="W62" s="1217"/>
      <c r="X62" s="1217"/>
      <c r="Y62" s="1217"/>
      <c r="Z62" s="539" t="str">
        <f>IF(AND(B9&lt;&gt;"処遇加算なし",F15=4),IF(V40="✓",1,IF(V41="✓",2,"")),"")</f>
        <v/>
      </c>
      <c r="AA62" s="536"/>
      <c r="AB62" s="537"/>
      <c r="AC62" s="1217" t="s">
        <v>2059</v>
      </c>
      <c r="AD62" s="1217"/>
      <c r="AE62" s="1217"/>
      <c r="AF62" s="1217"/>
      <c r="AG62" s="1217"/>
      <c r="AH62" s="425">
        <f>IF(AND(F15&lt;&gt;4,F15&lt;&gt;5),0,IF(AY8="○",1,2))</f>
        <v>2</v>
      </c>
      <c r="AI62" s="537"/>
      <c r="AJ62" s="537"/>
      <c r="AK62" s="1217" t="s">
        <v>2059</v>
      </c>
      <c r="AL62" s="1217"/>
      <c r="AM62" s="1217"/>
      <c r="AN62" s="1217"/>
      <c r="AO62" s="1217"/>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6"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SUM(事業所個票５!BU51)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12700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12700</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120650</xdr:colOff>
                    <xdr:row>23</xdr:row>
                    <xdr:rowOff>6350</xdr:rowOff>
                  </from>
                  <to>
                    <xdr:col>29</xdr:col>
                    <xdr:colOff>101600</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120650</xdr:colOff>
                    <xdr:row>24</xdr:row>
                    <xdr:rowOff>25400</xdr:rowOff>
                  </from>
                  <to>
                    <xdr:col>29</xdr:col>
                    <xdr:colOff>101600</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120650</xdr:colOff>
                    <xdr:row>24</xdr:row>
                    <xdr:rowOff>266700</xdr:rowOff>
                  </from>
                  <to>
                    <xdr:col>29</xdr:col>
                    <xdr:colOff>101600</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120650</xdr:colOff>
                    <xdr:row>27</xdr:row>
                    <xdr:rowOff>12700</xdr:rowOff>
                  </from>
                  <to>
                    <xdr:col>29</xdr:col>
                    <xdr:colOff>101600</xdr:colOff>
                    <xdr:row>28</xdr:row>
                    <xdr:rowOff>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120650</xdr:colOff>
                    <xdr:row>28</xdr:row>
                    <xdr:rowOff>31750</xdr:rowOff>
                  </from>
                  <to>
                    <xdr:col>29</xdr:col>
                    <xdr:colOff>101600</xdr:colOff>
                    <xdr:row>28</xdr:row>
                    <xdr:rowOff>241300</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120650</xdr:colOff>
                    <xdr:row>29</xdr:row>
                    <xdr:rowOff>12700</xdr:rowOff>
                  </from>
                  <to>
                    <xdr:col>29</xdr:col>
                    <xdr:colOff>101600</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127000</xdr:colOff>
                    <xdr:row>43</xdr:row>
                    <xdr:rowOff>0</xdr:rowOff>
                  </from>
                  <to>
                    <xdr:col>29</xdr:col>
                    <xdr:colOff>95250</xdr:colOff>
                    <xdr:row>44</xdr:row>
                    <xdr:rowOff>31750</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127000</xdr:colOff>
                    <xdr:row>44</xdr:row>
                    <xdr:rowOff>0</xdr:rowOff>
                  </from>
                  <to>
                    <xdr:col>29</xdr:col>
                    <xdr:colOff>95250</xdr:colOff>
                    <xdr:row>45</xdr:row>
                    <xdr:rowOff>12700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120650</xdr:colOff>
                    <xdr:row>43</xdr:row>
                    <xdr:rowOff>19050</xdr:rowOff>
                  </from>
                  <to>
                    <xdr:col>37</xdr:col>
                    <xdr:colOff>101600</xdr:colOff>
                    <xdr:row>43</xdr:row>
                    <xdr:rowOff>203200</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120650</xdr:colOff>
                    <xdr:row>44</xdr:row>
                    <xdr:rowOff>12700</xdr:rowOff>
                  </from>
                  <to>
                    <xdr:col>37</xdr:col>
                    <xdr:colOff>101600</xdr:colOff>
                    <xdr:row>44</xdr:row>
                    <xdr:rowOff>177800</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12700</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31750</xdr:colOff>
                    <xdr:row>22</xdr:row>
                    <xdr:rowOff>133350</xdr:rowOff>
                  </from>
                  <to>
                    <xdr:col>30</xdr:col>
                    <xdr:colOff>50800</xdr:colOff>
                    <xdr:row>27</xdr:row>
                    <xdr:rowOff>31750</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12700</xdr:colOff>
                    <xdr:row>26</xdr:row>
                    <xdr:rowOff>107950</xdr:rowOff>
                  </from>
                  <to>
                    <xdr:col>30</xdr:col>
                    <xdr:colOff>50800</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12700</xdr:colOff>
                    <xdr:row>30</xdr:row>
                    <xdr:rowOff>127000</xdr:rowOff>
                  </from>
                  <to>
                    <xdr:col>30</xdr:col>
                    <xdr:colOff>50800</xdr:colOff>
                    <xdr:row>34</xdr:row>
                    <xdr:rowOff>50800</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120650</xdr:colOff>
                    <xdr:row>31</xdr:row>
                    <xdr:rowOff>6350</xdr:rowOff>
                  </from>
                  <to>
                    <xdr:col>29</xdr:col>
                    <xdr:colOff>101600</xdr:colOff>
                    <xdr:row>32</xdr:row>
                    <xdr:rowOff>25400</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120650</xdr:colOff>
                    <xdr:row>32</xdr:row>
                    <xdr:rowOff>57150</xdr:rowOff>
                  </from>
                  <to>
                    <xdr:col>29</xdr:col>
                    <xdr:colOff>101600</xdr:colOff>
                    <xdr:row>32</xdr:row>
                    <xdr:rowOff>254000</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120650</xdr:colOff>
                    <xdr:row>33</xdr:row>
                    <xdr:rowOff>44450</xdr:rowOff>
                  </from>
                  <to>
                    <xdr:col>29</xdr:col>
                    <xdr:colOff>101600</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165100</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88900</xdr:rowOff>
                  </from>
                  <to>
                    <xdr:col>29</xdr:col>
                    <xdr:colOff>146050</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31750</xdr:colOff>
                    <xdr:row>26</xdr:row>
                    <xdr:rowOff>133350</xdr:rowOff>
                  </from>
                  <to>
                    <xdr:col>38</xdr:col>
                    <xdr:colOff>69850</xdr:colOff>
                    <xdr:row>31</xdr:row>
                    <xdr:rowOff>31750</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12700</xdr:colOff>
                    <xdr:row>30</xdr:row>
                    <xdr:rowOff>114300</xdr:rowOff>
                  </from>
                  <to>
                    <xdr:col>39</xdr:col>
                    <xdr:colOff>38100</xdr:colOff>
                    <xdr:row>34</xdr:row>
                    <xdr:rowOff>12700</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107950</xdr:colOff>
                    <xdr:row>33</xdr:row>
                    <xdr:rowOff>184150</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107950</xdr:rowOff>
                  </from>
                  <to>
                    <xdr:col>38</xdr:col>
                    <xdr:colOff>152400</xdr:colOff>
                    <xdr:row>41</xdr:row>
                    <xdr:rowOff>203200</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50800</xdr:colOff>
                    <xdr:row>43</xdr:row>
                    <xdr:rowOff>0</xdr:rowOff>
                  </from>
                  <to>
                    <xdr:col>38</xdr:col>
                    <xdr:colOff>50800</xdr:colOff>
                    <xdr:row>46</xdr:row>
                    <xdr:rowOff>127000</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31750</xdr:colOff>
                    <xdr:row>20</xdr:row>
                    <xdr:rowOff>0</xdr:rowOff>
                  </from>
                  <to>
                    <xdr:col>30</xdr:col>
                    <xdr:colOff>38100</xdr:colOff>
                    <xdr:row>23</xdr:row>
                    <xdr:rowOff>88900</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50800</xdr:colOff>
                    <xdr:row>20</xdr:row>
                    <xdr:rowOff>0</xdr:rowOff>
                  </from>
                  <to>
                    <xdr:col>38</xdr:col>
                    <xdr:colOff>57150</xdr:colOff>
                    <xdr:row>23</xdr:row>
                    <xdr:rowOff>88900</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50800</xdr:colOff>
                    <xdr:row>27</xdr:row>
                    <xdr:rowOff>50800</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127000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127000</xdr:colOff>
                    <xdr:row>40</xdr:row>
                    <xdr:rowOff>273050</xdr:rowOff>
                  </from>
                  <to>
                    <xdr:col>37</xdr:col>
                    <xdr:colOff>19050</xdr:colOff>
                    <xdr:row>41</xdr:row>
                    <xdr:rowOff>196850</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127000</xdr:colOff>
                    <xdr:row>20</xdr:row>
                    <xdr:rowOff>0</xdr:rowOff>
                  </from>
                  <to>
                    <xdr:col>37</xdr:col>
                    <xdr:colOff>107950</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127000</xdr:colOff>
                    <xdr:row>21</xdr:row>
                    <xdr:rowOff>0</xdr:rowOff>
                  </from>
                  <to>
                    <xdr:col>37</xdr:col>
                    <xdr:colOff>107950</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120650</xdr:colOff>
                    <xdr:row>27</xdr:row>
                    <xdr:rowOff>6350</xdr:rowOff>
                  </from>
                  <to>
                    <xdr:col>37</xdr:col>
                    <xdr:colOff>101600</xdr:colOff>
                    <xdr:row>27</xdr:row>
                    <xdr:rowOff>215900</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120650</xdr:colOff>
                    <xdr:row>28</xdr:row>
                    <xdr:rowOff>25400</xdr:rowOff>
                  </from>
                  <to>
                    <xdr:col>37</xdr:col>
                    <xdr:colOff>101600</xdr:colOff>
                    <xdr:row>28</xdr:row>
                    <xdr:rowOff>215900</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120650</xdr:colOff>
                    <xdr:row>28</xdr:row>
                    <xdr:rowOff>254000</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120650</xdr:colOff>
                    <xdr:row>35</xdr:row>
                    <xdr:rowOff>0</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120650</xdr:colOff>
                    <xdr:row>36</xdr:row>
                    <xdr:rowOff>254000</xdr:rowOff>
                  </from>
                  <to>
                    <xdr:col>29</xdr:col>
                    <xdr:colOff>25400</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12700</xdr:colOff>
                    <xdr:row>40</xdr:row>
                    <xdr:rowOff>12700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260350</xdr:rowOff>
                  </from>
                  <to>
                    <xdr:col>28</xdr:col>
                    <xdr:colOff>152400</xdr:colOff>
                    <xdr:row>42</xdr:row>
                    <xdr:rowOff>25400</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146050</xdr:colOff>
                    <xdr:row>38</xdr:row>
                    <xdr:rowOff>69850</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127000</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241300</xdr:rowOff>
                  </from>
                  <to>
                    <xdr:col>37</xdr:col>
                    <xdr:colOff>114300</xdr:colOff>
                    <xdr:row>38</xdr:row>
                    <xdr:rowOff>12700</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120650</xdr:colOff>
                    <xdr:row>23</xdr:row>
                    <xdr:rowOff>19050</xdr:rowOff>
                  </from>
                  <to>
                    <xdr:col>37</xdr:col>
                    <xdr:colOff>101600</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120650</xdr:colOff>
                    <xdr:row>24</xdr:row>
                    <xdr:rowOff>31750</xdr:rowOff>
                  </from>
                  <to>
                    <xdr:col>37</xdr:col>
                    <xdr:colOff>101600</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120650</xdr:colOff>
                    <xdr:row>25</xdr:row>
                    <xdr:rowOff>6350</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120650</xdr:colOff>
                    <xdr:row>31</xdr:row>
                    <xdr:rowOff>6350</xdr:rowOff>
                  </from>
                  <to>
                    <xdr:col>37</xdr:col>
                    <xdr:colOff>101600</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120650</xdr:colOff>
                    <xdr:row>32</xdr:row>
                    <xdr:rowOff>57150</xdr:rowOff>
                  </from>
                  <to>
                    <xdr:col>37</xdr:col>
                    <xdr:colOff>101600</xdr:colOff>
                    <xdr:row>32</xdr:row>
                    <xdr:rowOff>234950</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120650</xdr:colOff>
                    <xdr:row>33</xdr:row>
                    <xdr:rowOff>6350</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7" t="s">
        <v>2328</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436"/>
      <c r="AR2" s="436"/>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9"/>
      <c r="Q5" s="1220"/>
      <c r="R5" s="1220"/>
      <c r="S5" s="1220"/>
      <c r="T5" s="1220"/>
      <c r="U5" s="1220"/>
      <c r="V5" s="1220"/>
      <c r="W5" s="1220"/>
      <c r="X5" s="1221"/>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218" t="str">
        <f>IFERROR(VLOOKUP(Y5,【参考】数式用!$A$5:$AB$37,MATCH(V11,【参考】数式用!$B$4:$AB$4,0)+1,FALSE),"")</f>
        <v/>
      </c>
      <c r="W12" s="1218"/>
      <c r="X12" s="1218"/>
      <c r="Y12" s="1218"/>
      <c r="Z12" s="1218"/>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434"/>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437" t="s">
        <v>2110</v>
      </c>
      <c r="F15" s="54">
        <v>4</v>
      </c>
      <c r="G15" s="437" t="s">
        <v>2111</v>
      </c>
      <c r="H15" s="1153" t="s">
        <v>2112</v>
      </c>
      <c r="I15" s="1153"/>
      <c r="J15" s="1166"/>
      <c r="K15" s="54">
        <v>7</v>
      </c>
      <c r="L15" s="437" t="s">
        <v>2110</v>
      </c>
      <c r="M15" s="54">
        <v>3</v>
      </c>
      <c r="N15" s="437" t="s">
        <v>2111</v>
      </c>
      <c r="O15" s="437" t="s">
        <v>2113</v>
      </c>
      <c r="P15" s="104">
        <f>(K15*12+M15)-(D15*12+F15)+1</f>
        <v>12</v>
      </c>
      <c r="Q15" s="1153" t="s">
        <v>2114</v>
      </c>
      <c r="R15" s="1153"/>
      <c r="S15" s="105" t="s">
        <v>69</v>
      </c>
      <c r="U15" s="434"/>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3"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49999999999999"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438"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49999999999999"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438"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438"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438"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438"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438"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438"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438"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438"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438"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438" t="str">
        <f>IFERROR(IF(G9="特定加算なし","✓",""),"")</f>
        <v/>
      </c>
      <c r="W37" s="1023" t="s">
        <v>15</v>
      </c>
      <c r="X37" s="1024"/>
      <c r="Y37" s="1024"/>
      <c r="Z37" s="1025"/>
      <c r="AA37" s="1042"/>
      <c r="AB37" s="1043"/>
      <c r="AC37" s="1172" t="s">
        <v>2175</v>
      </c>
      <c r="AD37" s="1173"/>
      <c r="AE37" s="1173"/>
      <c r="AF37" s="1173"/>
      <c r="AG37" s="1174"/>
      <c r="AH37" s="1175"/>
      <c r="AI37" s="1042"/>
      <c r="AJ37" s="1043"/>
      <c r="AK37" s="1172" t="s">
        <v>2175</v>
      </c>
      <c r="AL37" s="1173"/>
      <c r="AM37" s="1173"/>
      <c r="AN37" s="1173"/>
      <c r="AO37" s="1174"/>
      <c r="AP37" s="1175"/>
      <c r="AS37" s="999"/>
      <c r="AT37" s="1000"/>
      <c r="AU37" s="1000"/>
      <c r="AV37" s="1000"/>
      <c r="AW37" s="1000"/>
      <c r="AX37" s="1000"/>
      <c r="AY37" s="1000"/>
      <c r="AZ37" s="1000"/>
      <c r="BA37" s="1000"/>
      <c r="BB37" s="1000"/>
      <c r="BC37" s="1000"/>
      <c r="BD37" s="1000"/>
      <c r="BE37" s="1000"/>
      <c r="BF37" s="1000"/>
      <c r="BG37" s="1000"/>
      <c r="BH37" s="1001"/>
    </row>
    <row r="38" spans="2:82" ht="17.149999999999999"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438"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438"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49999999999999"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435"/>
      <c r="AB42" s="435"/>
      <c r="AC42" s="136"/>
      <c r="AD42" s="1015" t="s">
        <v>15</v>
      </c>
      <c r="AE42" s="1015"/>
      <c r="AF42" s="1015"/>
      <c r="AG42" s="1015"/>
      <c r="AH42" s="1015"/>
      <c r="AI42" s="435"/>
      <c r="AJ42" s="435"/>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438"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49999999999999"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438"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176" t="s">
        <v>2202</v>
      </c>
      <c r="AT56" s="1176"/>
      <c r="AU56" s="1176"/>
      <c r="AV56" s="1176"/>
      <c r="AW56" s="1176" t="s">
        <v>2201</v>
      </c>
      <c r="AX56" s="1176"/>
      <c r="AY56" s="1176"/>
      <c r="AZ56" s="1176"/>
    </row>
    <row r="57" spans="2:86" ht="16"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6" customHeight="1">
      <c r="U58" s="1217" t="s">
        <v>2055</v>
      </c>
      <c r="V58" s="1217"/>
      <c r="W58" s="1217"/>
      <c r="X58" s="1217"/>
      <c r="Y58" s="1217"/>
      <c r="Z58" s="539" t="str">
        <f>IF(AND(B9&lt;&gt;"処遇加算なし",F15=4),IF(V24="✓",1,IF(V25="✓",2,IF(V26="✓",3,""))),"")</f>
        <v/>
      </c>
      <c r="AA58" s="536"/>
      <c r="AB58" s="537"/>
      <c r="AC58" s="1217" t="s">
        <v>2055</v>
      </c>
      <c r="AD58" s="1217"/>
      <c r="AE58" s="1217"/>
      <c r="AF58" s="1217"/>
      <c r="AG58" s="1217"/>
      <c r="AH58" s="425">
        <f>IF(AND(F15&lt;&gt;4,F15&lt;&gt;5),0,IF(AU8="○",1,3))</f>
        <v>3</v>
      </c>
      <c r="AI58" s="537"/>
      <c r="AJ58" s="537"/>
      <c r="AK58" s="1217" t="s">
        <v>2055</v>
      </c>
      <c r="AL58" s="1217"/>
      <c r="AM58" s="1217"/>
      <c r="AN58" s="1217"/>
      <c r="AO58" s="1217"/>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6" customHeight="1">
      <c r="U59" s="1217" t="s">
        <v>2056</v>
      </c>
      <c r="V59" s="1217"/>
      <c r="W59" s="1217"/>
      <c r="X59" s="1217"/>
      <c r="Y59" s="1217"/>
      <c r="Z59" s="539" t="str">
        <f>IF(AND(B9&lt;&gt;"処遇加算なし",F15=4),IF(V28="✓",1,IF(V29="✓",2,IF(V30="✓",3,""))),"")</f>
        <v/>
      </c>
      <c r="AA59" s="536"/>
      <c r="AB59" s="537"/>
      <c r="AC59" s="1217" t="s">
        <v>2056</v>
      </c>
      <c r="AD59" s="1217"/>
      <c r="AE59" s="1217"/>
      <c r="AF59" s="1217"/>
      <c r="AG59" s="1217"/>
      <c r="AH59" s="425">
        <f>IF(AND(F15&lt;&gt;4,F15&lt;&gt;5),0,IF(AV8="○",1,3))</f>
        <v>3</v>
      </c>
      <c r="AI59" s="537"/>
      <c r="AJ59" s="537"/>
      <c r="AK59" s="1217" t="s">
        <v>2056</v>
      </c>
      <c r="AL59" s="1217"/>
      <c r="AM59" s="1217"/>
      <c r="AN59" s="1217"/>
      <c r="AO59" s="1217"/>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6" customHeight="1">
      <c r="U60" s="1217" t="s">
        <v>2057</v>
      </c>
      <c r="V60" s="1217"/>
      <c r="W60" s="1217"/>
      <c r="X60" s="1217"/>
      <c r="Y60" s="1217"/>
      <c r="Z60" s="539" t="str">
        <f>IF(AND(B9&lt;&gt;"処遇加算なし",F15=4),IF(V32="✓",1,IF(V33="✓",2,"")),"")</f>
        <v/>
      </c>
      <c r="AA60" s="536"/>
      <c r="AB60" s="537"/>
      <c r="AC60" s="1217" t="s">
        <v>2057</v>
      </c>
      <c r="AD60" s="1217"/>
      <c r="AE60" s="1217"/>
      <c r="AF60" s="1217"/>
      <c r="AG60" s="1217"/>
      <c r="AH60" s="425">
        <f>IF(AND(F15&lt;&gt;4,F15&lt;&gt;5),0,IF(AW8="○",1,3))</f>
        <v>3</v>
      </c>
      <c r="AI60" s="537"/>
      <c r="AJ60" s="537"/>
      <c r="AK60" s="1217" t="s">
        <v>2057</v>
      </c>
      <c r="AL60" s="1217"/>
      <c r="AM60" s="1217"/>
      <c r="AN60" s="1217"/>
      <c r="AO60" s="1217"/>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6" customHeight="1">
      <c r="U61" s="1217" t="s">
        <v>2058</v>
      </c>
      <c r="V61" s="1217"/>
      <c r="W61" s="1217"/>
      <c r="X61" s="1217"/>
      <c r="Y61" s="1217"/>
      <c r="Z61" s="539" t="str">
        <f>IF(AND(B9&lt;&gt;"処遇加算なし",F15=4),IF(V36="✓",1,IF(V37="✓",2,"")),"")</f>
        <v/>
      </c>
      <c r="AA61" s="536"/>
      <c r="AB61" s="537"/>
      <c r="AC61" s="1217" t="s">
        <v>2058</v>
      </c>
      <c r="AD61" s="1217"/>
      <c r="AE61" s="1217"/>
      <c r="AF61" s="1217"/>
      <c r="AG61" s="1217"/>
      <c r="AH61" s="425">
        <f>IF(AND(F15&lt;&gt;4,F15&lt;&gt;5),0,IF(AX8="○",1,2))</f>
        <v>2</v>
      </c>
      <c r="AI61" s="537"/>
      <c r="AJ61" s="537"/>
      <c r="AK61" s="1217" t="s">
        <v>2058</v>
      </c>
      <c r="AL61" s="1217"/>
      <c r="AM61" s="1217"/>
      <c r="AN61" s="1217"/>
      <c r="AO61" s="1217"/>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6" customHeight="1">
      <c r="U62" s="1217" t="s">
        <v>2059</v>
      </c>
      <c r="V62" s="1217"/>
      <c r="W62" s="1217"/>
      <c r="X62" s="1217"/>
      <c r="Y62" s="1217"/>
      <c r="Z62" s="539" t="str">
        <f>IF(AND(B9&lt;&gt;"処遇加算なし",F15=4),IF(V40="✓",1,IF(V41="✓",2,"")),"")</f>
        <v/>
      </c>
      <c r="AA62" s="536"/>
      <c r="AB62" s="537"/>
      <c r="AC62" s="1217" t="s">
        <v>2059</v>
      </c>
      <c r="AD62" s="1217"/>
      <c r="AE62" s="1217"/>
      <c r="AF62" s="1217"/>
      <c r="AG62" s="1217"/>
      <c r="AH62" s="425">
        <f>IF(AND(F15&lt;&gt;4,F15&lt;&gt;5),0,IF(AY8="○",1,2))</f>
        <v>2</v>
      </c>
      <c r="AI62" s="537"/>
      <c r="AJ62" s="537"/>
      <c r="AK62" s="1217" t="s">
        <v>2059</v>
      </c>
      <c r="AL62" s="1217"/>
      <c r="AM62" s="1217"/>
      <c r="AN62" s="1217"/>
      <c r="AO62" s="1217"/>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6"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SUM(事業所個票６!BU51)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139700</xdr:colOff>
                    <xdr:row>20</xdr:row>
                    <xdr:rowOff>19050</xdr:rowOff>
                  </from>
                  <to>
                    <xdr:col>29</xdr:col>
                    <xdr:colOff>120650</xdr:colOff>
                    <xdr:row>21</xdr:row>
                    <xdr:rowOff>12700</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139700</xdr:colOff>
                    <xdr:row>21</xdr:row>
                    <xdr:rowOff>12700</xdr:rowOff>
                  </from>
                  <to>
                    <xdr:col>29</xdr:col>
                    <xdr:colOff>120650</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6350</xdr:rowOff>
                  </from>
                  <to>
                    <xdr:col>29</xdr:col>
                    <xdr:colOff>114300</xdr:colOff>
                    <xdr:row>23</xdr:row>
                    <xdr:rowOff>222250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12700</xdr:rowOff>
                  </from>
                  <to>
                    <xdr:col>29</xdr:col>
                    <xdr:colOff>114300</xdr:colOff>
                    <xdr:row>28</xdr:row>
                    <xdr:rowOff>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12700</xdr:rowOff>
                  </from>
                  <to>
                    <xdr:col>37</xdr:col>
                    <xdr:colOff>114300</xdr:colOff>
                    <xdr:row>44</xdr:row>
                    <xdr:rowOff>177800</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6350</xdr:rowOff>
                  </from>
                  <to>
                    <xdr:col>29</xdr:col>
                    <xdr:colOff>114300</xdr:colOff>
                    <xdr:row>32</xdr:row>
                    <xdr:rowOff>25400</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254000</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139700</xdr:colOff>
                    <xdr:row>39</xdr:row>
                    <xdr:rowOff>0</xdr:rowOff>
                  </from>
                  <to>
                    <xdr:col>37</xdr:col>
                    <xdr:colOff>31750</xdr:colOff>
                    <xdr:row>39</xdr:row>
                    <xdr:rowOff>215900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139700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6350</xdr:rowOff>
                  </from>
                  <to>
                    <xdr:col>37</xdr:col>
                    <xdr:colOff>114300</xdr:colOff>
                    <xdr:row>27</xdr:row>
                    <xdr:rowOff>215900</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25400</xdr:rowOff>
                  </from>
                  <to>
                    <xdr:col>37</xdr:col>
                    <xdr:colOff>114300</xdr:colOff>
                    <xdr:row>28</xdr:row>
                    <xdr:rowOff>215900</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254000</xdr:rowOff>
                  </from>
                  <to>
                    <xdr:col>37</xdr:col>
                    <xdr:colOff>101600</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35</xdr:row>
                    <xdr:rowOff>0</xdr:rowOff>
                  </from>
                  <to>
                    <xdr:col>29</xdr:col>
                    <xdr:colOff>31750</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146050</xdr:colOff>
                    <xdr:row>40</xdr:row>
                    <xdr:rowOff>254000</xdr:rowOff>
                  </from>
                  <to>
                    <xdr:col>28</xdr:col>
                    <xdr:colOff>158750</xdr:colOff>
                    <xdr:row>42</xdr:row>
                    <xdr:rowOff>31750</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146050</xdr:colOff>
                    <xdr:row>36</xdr:row>
                    <xdr:rowOff>241300</xdr:rowOff>
                  </from>
                  <to>
                    <xdr:col>37</xdr:col>
                    <xdr:colOff>127000</xdr:colOff>
                    <xdr:row>38</xdr:row>
                    <xdr:rowOff>6350</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6350</xdr:rowOff>
                  </from>
                  <to>
                    <xdr:col>37</xdr:col>
                    <xdr:colOff>114300</xdr:colOff>
                    <xdr:row>32</xdr:row>
                    <xdr:rowOff>12700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6350</xdr:rowOff>
                  </from>
                  <to>
                    <xdr:col>37</xdr:col>
                    <xdr:colOff>101600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7" t="s">
        <v>2329</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436"/>
      <c r="AR2" s="436"/>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9"/>
      <c r="Q5" s="1220"/>
      <c r="R5" s="1220"/>
      <c r="S5" s="1220"/>
      <c r="T5" s="1220"/>
      <c r="U5" s="1220"/>
      <c r="V5" s="1220"/>
      <c r="W5" s="1220"/>
      <c r="X5" s="1221"/>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218" t="str">
        <f>IFERROR(VLOOKUP(Y5,【参考】数式用!$A$5:$AB$37,MATCH(V11,【参考】数式用!$B$4:$AB$4,0)+1,FALSE),"")</f>
        <v/>
      </c>
      <c r="W12" s="1218"/>
      <c r="X12" s="1218"/>
      <c r="Y12" s="1218"/>
      <c r="Z12" s="1218"/>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434"/>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437" t="s">
        <v>2110</v>
      </c>
      <c r="F15" s="54">
        <v>4</v>
      </c>
      <c r="G15" s="437" t="s">
        <v>2111</v>
      </c>
      <c r="H15" s="1153" t="s">
        <v>2112</v>
      </c>
      <c r="I15" s="1153"/>
      <c r="J15" s="1166"/>
      <c r="K15" s="54">
        <v>7</v>
      </c>
      <c r="L15" s="437" t="s">
        <v>2110</v>
      </c>
      <c r="M15" s="54">
        <v>3</v>
      </c>
      <c r="N15" s="437" t="s">
        <v>2111</v>
      </c>
      <c r="O15" s="437" t="s">
        <v>2113</v>
      </c>
      <c r="P15" s="104">
        <f>(K15*12+M15)-(D15*12+F15)+1</f>
        <v>12</v>
      </c>
      <c r="Q15" s="1153" t="s">
        <v>2114</v>
      </c>
      <c r="R15" s="1153"/>
      <c r="S15" s="105" t="s">
        <v>69</v>
      </c>
      <c r="U15" s="434"/>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3"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49999999999999"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438"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49999999999999"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438"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438"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438"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438"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438"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438"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438"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438"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438"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438" t="str">
        <f>IFERROR(IF(G9="特定加算なし","✓",""),"")</f>
        <v/>
      </c>
      <c r="W37" s="1023" t="s">
        <v>15</v>
      </c>
      <c r="X37" s="1024"/>
      <c r="Y37" s="1024"/>
      <c r="Z37" s="1025"/>
      <c r="AA37" s="1042"/>
      <c r="AB37" s="1043"/>
      <c r="AC37" s="1172" t="s">
        <v>2175</v>
      </c>
      <c r="AD37" s="1173"/>
      <c r="AE37" s="1173"/>
      <c r="AF37" s="1173"/>
      <c r="AG37" s="1174"/>
      <c r="AH37" s="1175"/>
      <c r="AI37" s="1042"/>
      <c r="AJ37" s="1043"/>
      <c r="AK37" s="1172" t="s">
        <v>2175</v>
      </c>
      <c r="AL37" s="1173"/>
      <c r="AM37" s="1173"/>
      <c r="AN37" s="1173"/>
      <c r="AO37" s="1174"/>
      <c r="AP37" s="1175"/>
      <c r="AS37" s="999"/>
      <c r="AT37" s="1000"/>
      <c r="AU37" s="1000"/>
      <c r="AV37" s="1000"/>
      <c r="AW37" s="1000"/>
      <c r="AX37" s="1000"/>
      <c r="AY37" s="1000"/>
      <c r="AZ37" s="1000"/>
      <c r="BA37" s="1000"/>
      <c r="BB37" s="1000"/>
      <c r="BC37" s="1000"/>
      <c r="BD37" s="1000"/>
      <c r="BE37" s="1000"/>
      <c r="BF37" s="1000"/>
      <c r="BG37" s="1000"/>
      <c r="BH37" s="1001"/>
    </row>
    <row r="38" spans="2:82" ht="17.149999999999999"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438"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438"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49999999999999"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435"/>
      <c r="AB42" s="435"/>
      <c r="AC42" s="136"/>
      <c r="AD42" s="1015" t="s">
        <v>15</v>
      </c>
      <c r="AE42" s="1015"/>
      <c r="AF42" s="1015"/>
      <c r="AG42" s="1015"/>
      <c r="AH42" s="1015"/>
      <c r="AI42" s="435"/>
      <c r="AJ42" s="435"/>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438"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49999999999999"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438"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176" t="s">
        <v>2202</v>
      </c>
      <c r="AT56" s="1176"/>
      <c r="AU56" s="1176"/>
      <c r="AV56" s="1176"/>
      <c r="AW56" s="1176" t="s">
        <v>2201</v>
      </c>
      <c r="AX56" s="1176"/>
      <c r="AY56" s="1176"/>
      <c r="AZ56" s="1176"/>
    </row>
    <row r="57" spans="2:86" ht="16"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6" customHeight="1">
      <c r="U58" s="1217" t="s">
        <v>2055</v>
      </c>
      <c r="V58" s="1217"/>
      <c r="W58" s="1217"/>
      <c r="X58" s="1217"/>
      <c r="Y58" s="1217"/>
      <c r="Z58" s="539" t="str">
        <f>IF(AND(B9&lt;&gt;"処遇加算なし",F15=4),IF(V24="✓",1,IF(V25="✓",2,IF(V26="✓",3,""))),"")</f>
        <v/>
      </c>
      <c r="AA58" s="536"/>
      <c r="AB58" s="537"/>
      <c r="AC58" s="1217" t="s">
        <v>2055</v>
      </c>
      <c r="AD58" s="1217"/>
      <c r="AE58" s="1217"/>
      <c r="AF58" s="1217"/>
      <c r="AG58" s="1217"/>
      <c r="AH58" s="425">
        <f>IF(AND(F15&lt;&gt;4,F15&lt;&gt;5),0,IF(AU8="○",1,3))</f>
        <v>3</v>
      </c>
      <c r="AI58" s="537"/>
      <c r="AJ58" s="537"/>
      <c r="AK58" s="1217" t="s">
        <v>2055</v>
      </c>
      <c r="AL58" s="1217"/>
      <c r="AM58" s="1217"/>
      <c r="AN58" s="1217"/>
      <c r="AO58" s="1217"/>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6" customHeight="1">
      <c r="U59" s="1217" t="s">
        <v>2056</v>
      </c>
      <c r="V59" s="1217"/>
      <c r="W59" s="1217"/>
      <c r="X59" s="1217"/>
      <c r="Y59" s="1217"/>
      <c r="Z59" s="539" t="str">
        <f>IF(AND(B9&lt;&gt;"処遇加算なし",F15=4),IF(V28="✓",1,IF(V29="✓",2,IF(V30="✓",3,""))),"")</f>
        <v/>
      </c>
      <c r="AA59" s="536"/>
      <c r="AB59" s="537"/>
      <c r="AC59" s="1217" t="s">
        <v>2056</v>
      </c>
      <c r="AD59" s="1217"/>
      <c r="AE59" s="1217"/>
      <c r="AF59" s="1217"/>
      <c r="AG59" s="1217"/>
      <c r="AH59" s="425">
        <f>IF(AND(F15&lt;&gt;4,F15&lt;&gt;5),0,IF(AV8="○",1,3))</f>
        <v>3</v>
      </c>
      <c r="AI59" s="537"/>
      <c r="AJ59" s="537"/>
      <c r="AK59" s="1217" t="s">
        <v>2056</v>
      </c>
      <c r="AL59" s="1217"/>
      <c r="AM59" s="1217"/>
      <c r="AN59" s="1217"/>
      <c r="AO59" s="1217"/>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6" customHeight="1">
      <c r="U60" s="1217" t="s">
        <v>2057</v>
      </c>
      <c r="V60" s="1217"/>
      <c r="W60" s="1217"/>
      <c r="X60" s="1217"/>
      <c r="Y60" s="1217"/>
      <c r="Z60" s="539" t="str">
        <f>IF(AND(B9&lt;&gt;"処遇加算なし",F15=4),IF(V32="✓",1,IF(V33="✓",2,"")),"")</f>
        <v/>
      </c>
      <c r="AA60" s="536"/>
      <c r="AB60" s="537"/>
      <c r="AC60" s="1217" t="s">
        <v>2057</v>
      </c>
      <c r="AD60" s="1217"/>
      <c r="AE60" s="1217"/>
      <c r="AF60" s="1217"/>
      <c r="AG60" s="1217"/>
      <c r="AH60" s="425">
        <f>IF(AND(F15&lt;&gt;4,F15&lt;&gt;5),0,IF(AW8="○",1,3))</f>
        <v>3</v>
      </c>
      <c r="AI60" s="537"/>
      <c r="AJ60" s="537"/>
      <c r="AK60" s="1217" t="s">
        <v>2057</v>
      </c>
      <c r="AL60" s="1217"/>
      <c r="AM60" s="1217"/>
      <c r="AN60" s="1217"/>
      <c r="AO60" s="1217"/>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6" customHeight="1">
      <c r="U61" s="1217" t="s">
        <v>2058</v>
      </c>
      <c r="V61" s="1217"/>
      <c r="W61" s="1217"/>
      <c r="X61" s="1217"/>
      <c r="Y61" s="1217"/>
      <c r="Z61" s="539" t="str">
        <f>IF(AND(B9&lt;&gt;"処遇加算なし",F15=4),IF(V36="✓",1,IF(V37="✓",2,"")),"")</f>
        <v/>
      </c>
      <c r="AA61" s="536"/>
      <c r="AB61" s="537"/>
      <c r="AC61" s="1217" t="s">
        <v>2058</v>
      </c>
      <c r="AD61" s="1217"/>
      <c r="AE61" s="1217"/>
      <c r="AF61" s="1217"/>
      <c r="AG61" s="1217"/>
      <c r="AH61" s="425">
        <f>IF(AND(F15&lt;&gt;4,F15&lt;&gt;5),0,IF(AX8="○",1,2))</f>
        <v>2</v>
      </c>
      <c r="AI61" s="537"/>
      <c r="AJ61" s="537"/>
      <c r="AK61" s="1217" t="s">
        <v>2058</v>
      </c>
      <c r="AL61" s="1217"/>
      <c r="AM61" s="1217"/>
      <c r="AN61" s="1217"/>
      <c r="AO61" s="1217"/>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6" customHeight="1">
      <c r="U62" s="1217" t="s">
        <v>2059</v>
      </c>
      <c r="V62" s="1217"/>
      <c r="W62" s="1217"/>
      <c r="X62" s="1217"/>
      <c r="Y62" s="1217"/>
      <c r="Z62" s="539" t="str">
        <f>IF(AND(B9&lt;&gt;"処遇加算なし",F15=4),IF(V40="✓",1,IF(V41="✓",2,"")),"")</f>
        <v/>
      </c>
      <c r="AA62" s="536"/>
      <c r="AB62" s="537"/>
      <c r="AC62" s="1217" t="s">
        <v>2059</v>
      </c>
      <c r="AD62" s="1217"/>
      <c r="AE62" s="1217"/>
      <c r="AF62" s="1217"/>
      <c r="AG62" s="1217"/>
      <c r="AH62" s="425">
        <f>IF(AND(F15&lt;&gt;4,F15&lt;&gt;5),0,IF(AY8="○",1,2))</f>
        <v>2</v>
      </c>
      <c r="AI62" s="537"/>
      <c r="AJ62" s="537"/>
      <c r="AK62" s="1217" t="s">
        <v>2059</v>
      </c>
      <c r="AL62" s="1217"/>
      <c r="AM62" s="1217"/>
      <c r="AN62" s="1217"/>
      <c r="AO62" s="1217"/>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6"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SUM(事業所個票７!BU51)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139700</xdr:colOff>
                    <xdr:row>20</xdr:row>
                    <xdr:rowOff>19050</xdr:rowOff>
                  </from>
                  <to>
                    <xdr:col>29</xdr:col>
                    <xdr:colOff>120650</xdr:colOff>
                    <xdr:row>21</xdr:row>
                    <xdr:rowOff>12700</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139700</xdr:colOff>
                    <xdr:row>21</xdr:row>
                    <xdr:rowOff>12700</xdr:rowOff>
                  </from>
                  <to>
                    <xdr:col>29</xdr:col>
                    <xdr:colOff>120650</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6350</xdr:rowOff>
                  </from>
                  <to>
                    <xdr:col>29</xdr:col>
                    <xdr:colOff>114300</xdr:colOff>
                    <xdr:row>23</xdr:row>
                    <xdr:rowOff>222250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12700</xdr:rowOff>
                  </from>
                  <to>
                    <xdr:col>29</xdr:col>
                    <xdr:colOff>114300</xdr:colOff>
                    <xdr:row>28</xdr:row>
                    <xdr:rowOff>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12700</xdr:rowOff>
                  </from>
                  <to>
                    <xdr:col>37</xdr:col>
                    <xdr:colOff>114300</xdr:colOff>
                    <xdr:row>44</xdr:row>
                    <xdr:rowOff>177800</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6350</xdr:rowOff>
                  </from>
                  <to>
                    <xdr:col>29</xdr:col>
                    <xdr:colOff>114300</xdr:colOff>
                    <xdr:row>32</xdr:row>
                    <xdr:rowOff>25400</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254000</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139700</xdr:colOff>
                    <xdr:row>39</xdr:row>
                    <xdr:rowOff>0</xdr:rowOff>
                  </from>
                  <to>
                    <xdr:col>37</xdr:col>
                    <xdr:colOff>31750</xdr:colOff>
                    <xdr:row>39</xdr:row>
                    <xdr:rowOff>215900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139700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6350</xdr:rowOff>
                  </from>
                  <to>
                    <xdr:col>37</xdr:col>
                    <xdr:colOff>114300</xdr:colOff>
                    <xdr:row>27</xdr:row>
                    <xdr:rowOff>215900</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25400</xdr:rowOff>
                  </from>
                  <to>
                    <xdr:col>37</xdr:col>
                    <xdr:colOff>114300</xdr:colOff>
                    <xdr:row>28</xdr:row>
                    <xdr:rowOff>215900</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254000</xdr:rowOff>
                  </from>
                  <to>
                    <xdr:col>37</xdr:col>
                    <xdr:colOff>101600</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35</xdr:row>
                    <xdr:rowOff>0</xdr:rowOff>
                  </from>
                  <to>
                    <xdr:col>29</xdr:col>
                    <xdr:colOff>31750</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146050</xdr:colOff>
                    <xdr:row>40</xdr:row>
                    <xdr:rowOff>254000</xdr:rowOff>
                  </from>
                  <to>
                    <xdr:col>28</xdr:col>
                    <xdr:colOff>158750</xdr:colOff>
                    <xdr:row>42</xdr:row>
                    <xdr:rowOff>31750</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146050</xdr:colOff>
                    <xdr:row>36</xdr:row>
                    <xdr:rowOff>241300</xdr:rowOff>
                  </from>
                  <to>
                    <xdr:col>37</xdr:col>
                    <xdr:colOff>127000</xdr:colOff>
                    <xdr:row>38</xdr:row>
                    <xdr:rowOff>6350</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6350</xdr:rowOff>
                  </from>
                  <to>
                    <xdr:col>37</xdr:col>
                    <xdr:colOff>114300</xdr:colOff>
                    <xdr:row>32</xdr:row>
                    <xdr:rowOff>12700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6350</xdr:rowOff>
                  </from>
                  <to>
                    <xdr:col>37</xdr:col>
                    <xdr:colOff>101600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
  <cols>
    <col min="1" max="1" width="1.58203125" style="71" customWidth="1"/>
    <col min="2" max="6" width="2.5" style="71" customWidth="1"/>
    <col min="7" max="9" width="2.08203125" style="71" customWidth="1"/>
    <col min="10" max="10" width="1.83203125" style="71" customWidth="1"/>
    <col min="11" max="12" width="2.08203125" style="71" customWidth="1"/>
    <col min="13" max="13" width="2.33203125" style="71" customWidth="1"/>
    <col min="14" max="15" width="2.08203125" style="71" customWidth="1"/>
    <col min="16" max="16" width="2.75" style="71" customWidth="1"/>
    <col min="17" max="19" width="2.08203125" style="71" customWidth="1"/>
    <col min="20" max="20" width="1.33203125" style="71" customWidth="1"/>
    <col min="21" max="30" width="2.08203125" style="71" customWidth="1"/>
    <col min="31" max="31" width="2.5" style="71" customWidth="1"/>
    <col min="32" max="32" width="2.75" style="71" customWidth="1"/>
    <col min="33" max="38" width="2.08203125" style="71" customWidth="1"/>
    <col min="39" max="39" width="2.75" style="71" customWidth="1"/>
    <col min="40" max="40" width="2.5" style="71" customWidth="1"/>
    <col min="41" max="42" width="2.08203125" style="71" customWidth="1"/>
    <col min="43" max="43" width="1.58203125" style="71" customWidth="1"/>
    <col min="44" max="44" width="2" style="71" customWidth="1"/>
    <col min="45" max="48" width="2.58203125" style="71" customWidth="1"/>
    <col min="49" max="62" width="2.83203125" style="71" customWidth="1"/>
    <col min="63" max="72" width="2.25" style="71" customWidth="1"/>
    <col min="73" max="73" width="3.08203125" style="71" customWidth="1"/>
    <col min="74" max="75" width="2.25" style="71" customWidth="1"/>
    <col min="76" max="76" width="3" style="71" customWidth="1"/>
    <col min="77" max="78" width="2.25" style="71" customWidth="1"/>
    <col min="79" max="81" width="2.08203125" style="71" customWidth="1"/>
    <col min="82" max="82" width="2" style="71" customWidth="1"/>
    <col min="83" max="85" width="2.33203125" style="71" customWidth="1"/>
    <col min="86" max="86" width="3.08203125" style="71" customWidth="1"/>
    <col min="87" max="92" width="2.33203125" style="71" customWidth="1"/>
    <col min="93" max="102" width="1.58203125" style="71" customWidth="1"/>
    <col min="103" max="16384" width="9" style="71"/>
  </cols>
  <sheetData>
    <row r="1" spans="1:88" ht="18" customHeight="1">
      <c r="B1" s="72" t="s">
        <v>2119</v>
      </c>
      <c r="M1" s="73"/>
      <c r="N1" s="1167" t="s">
        <v>2330</v>
      </c>
      <c r="O1" s="1167"/>
      <c r="P1" s="1167"/>
      <c r="Q1" s="1167"/>
      <c r="R1" s="1167"/>
      <c r="S1" s="1167"/>
      <c r="T1" s="1167"/>
      <c r="U1" s="1167"/>
      <c r="V1" s="1167"/>
      <c r="W1" s="1167"/>
      <c r="X1" s="1167"/>
      <c r="Y1" s="1167"/>
      <c r="Z1" s="1167"/>
      <c r="AA1" s="1167"/>
      <c r="AB1" s="1167"/>
      <c r="AC1" s="1167"/>
      <c r="AD1" s="1167"/>
      <c r="AE1" s="1167"/>
      <c r="AF1" s="1013" t="s">
        <v>25</v>
      </c>
      <c r="AG1" s="1013"/>
      <c r="AH1" s="1013"/>
      <c r="AI1" s="1014" t="str">
        <f>IF(G5="","",G5)</f>
        <v/>
      </c>
      <c r="AJ1" s="1014"/>
      <c r="AK1" s="1014"/>
      <c r="AL1" s="1014"/>
      <c r="AM1" s="1014"/>
      <c r="AN1" s="1014"/>
      <c r="AO1" s="1014"/>
      <c r="AP1" s="1014"/>
      <c r="AS1" s="1181" t="str">
        <f>B9&amp;G9&amp;L9</f>
        <v/>
      </c>
      <c r="AT1" s="1182"/>
      <c r="AU1" s="1182"/>
      <c r="AV1" s="1182"/>
      <c r="AW1" s="1182"/>
      <c r="AX1" s="1182"/>
      <c r="AY1" s="1182"/>
      <c r="AZ1" s="1182"/>
      <c r="BA1" s="1182"/>
      <c r="BB1" s="1182"/>
      <c r="BC1" s="1182"/>
      <c r="BD1" s="1182"/>
      <c r="BE1" s="1183"/>
      <c r="BF1" s="1180" t="str">
        <f>IFERROR(VLOOKUP(Y5,【参考】数式用!$AH$2:$AI$34,2,FALSE),"")</f>
        <v/>
      </c>
      <c r="BG1" s="1180"/>
      <c r="BH1" s="1180"/>
      <c r="BI1" s="1180"/>
      <c r="BJ1" s="1180"/>
      <c r="BK1" s="1180"/>
      <c r="BL1" s="1180"/>
      <c r="BM1" s="1180"/>
      <c r="BN1" s="1180"/>
      <c r="BO1" s="1180"/>
      <c r="BP1" s="1180"/>
      <c r="CE1" s="74" t="s">
        <v>2189</v>
      </c>
    </row>
    <row r="2" spans="1:88" s="75" customFormat="1" ht="19.5" customHeight="1" thickBot="1">
      <c r="C2" s="73"/>
      <c r="D2" s="73"/>
      <c r="E2" s="73"/>
      <c r="F2" s="73"/>
      <c r="G2" s="73"/>
      <c r="H2" s="73"/>
      <c r="I2" s="73"/>
      <c r="J2" s="73"/>
      <c r="K2" s="73"/>
      <c r="L2" s="73"/>
      <c r="M2" s="73"/>
      <c r="N2" s="1167"/>
      <c r="O2" s="1167"/>
      <c r="P2" s="1167"/>
      <c r="Q2" s="1167"/>
      <c r="R2" s="1167"/>
      <c r="S2" s="1167"/>
      <c r="T2" s="1167"/>
      <c r="U2" s="1167"/>
      <c r="V2" s="1167"/>
      <c r="W2" s="1167"/>
      <c r="X2" s="1167"/>
      <c r="Y2" s="1167"/>
      <c r="Z2" s="1167"/>
      <c r="AA2" s="1167"/>
      <c r="AB2" s="1167"/>
      <c r="AC2" s="1167"/>
      <c r="AD2" s="1167"/>
      <c r="AE2" s="1167"/>
      <c r="AF2" s="73"/>
      <c r="AG2" s="73"/>
      <c r="AH2" s="73"/>
      <c r="AI2" s="73"/>
      <c r="AJ2" s="73"/>
      <c r="AK2" s="73"/>
      <c r="AL2" s="73"/>
      <c r="AM2" s="73"/>
      <c r="AN2" s="73"/>
      <c r="AO2" s="73"/>
      <c r="AP2" s="73"/>
      <c r="AQ2" s="436"/>
      <c r="AR2" s="436"/>
      <c r="CE2" s="1005" t="s">
        <v>2192</v>
      </c>
      <c r="CF2" s="1005"/>
      <c r="CG2" s="1005"/>
      <c r="CH2" s="1005"/>
      <c r="CI2" s="986" t="str">
        <f>IF(AI1&lt;&gt;"",1,"")</f>
        <v/>
      </c>
      <c r="CJ2" s="987"/>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5" t="s">
        <v>2186</v>
      </c>
      <c r="CF3" s="1005"/>
      <c r="CG3" s="1005"/>
      <c r="CH3" s="1005"/>
      <c r="CI3" s="991" t="str">
        <f>IF(AND(L9="ベア加算",Q49="ベア加算"),1,"")</f>
        <v/>
      </c>
      <c r="CJ3" s="992"/>
    </row>
    <row r="4" spans="1:88" ht="28.5" customHeight="1">
      <c r="B4" s="1086" t="s">
        <v>2237</v>
      </c>
      <c r="C4" s="1086"/>
      <c r="D4" s="1086"/>
      <c r="E4" s="1086"/>
      <c r="F4" s="1086"/>
      <c r="G4" s="1087" t="s">
        <v>0</v>
      </c>
      <c r="H4" s="1087"/>
      <c r="I4" s="1087"/>
      <c r="J4" s="1088" t="s">
        <v>1</v>
      </c>
      <c r="K4" s="1089"/>
      <c r="L4" s="1089"/>
      <c r="M4" s="1089"/>
      <c r="N4" s="1089"/>
      <c r="O4" s="1090"/>
      <c r="P4" s="1197" t="s">
        <v>2</v>
      </c>
      <c r="Q4" s="1198"/>
      <c r="R4" s="1198"/>
      <c r="S4" s="1198"/>
      <c r="T4" s="1198"/>
      <c r="U4" s="1198"/>
      <c r="V4" s="1198"/>
      <c r="W4" s="1198"/>
      <c r="X4" s="1199"/>
      <c r="Y4" s="1088" t="s">
        <v>3</v>
      </c>
      <c r="Z4" s="1089"/>
      <c r="AA4" s="1089"/>
      <c r="AB4" s="1089"/>
      <c r="AC4" s="1089"/>
      <c r="AD4" s="1090"/>
      <c r="AE4" s="1129" t="s">
        <v>2317</v>
      </c>
      <c r="AF4" s="1130"/>
      <c r="AG4" s="1130"/>
      <c r="AH4" s="1131"/>
      <c r="AI4" s="1129" t="s">
        <v>2318</v>
      </c>
      <c r="AJ4" s="1130"/>
      <c r="AK4" s="1130"/>
      <c r="AL4" s="1131"/>
      <c r="AM4" s="1129" t="s">
        <v>2319</v>
      </c>
      <c r="AN4" s="1130"/>
      <c r="AO4" s="1130"/>
      <c r="AP4" s="1131"/>
      <c r="AS4" s="83"/>
      <c r="AT4" s="1185" t="s">
        <v>2095</v>
      </c>
      <c r="AU4" s="1185" t="s">
        <v>2055</v>
      </c>
      <c r="AV4" s="1185" t="s">
        <v>2056</v>
      </c>
      <c r="AW4" s="1185" t="s">
        <v>2057</v>
      </c>
      <c r="AX4" s="1185" t="s">
        <v>2058</v>
      </c>
      <c r="AY4" s="1185" t="s">
        <v>2059</v>
      </c>
      <c r="AZ4" s="1185" t="s">
        <v>2094</v>
      </c>
      <c r="BA4" s="84"/>
      <c r="CE4" s="1005" t="s">
        <v>2191</v>
      </c>
      <c r="CF4" s="1005"/>
      <c r="CG4" s="1005"/>
      <c r="CH4" s="1005"/>
      <c r="CI4" s="993" t="str">
        <f>IF(OR(OR(G49="処遇加算Ⅰ",G49="処遇加算Ⅱ"),OR(AS48="処遇加算Ⅰ",AS48="処遇加算Ⅱ")),1,"")</f>
        <v/>
      </c>
      <c r="CJ4" s="994"/>
    </row>
    <row r="5" spans="1:88" ht="33" customHeight="1">
      <c r="B5" s="1145"/>
      <c r="C5" s="1145"/>
      <c r="D5" s="1145"/>
      <c r="E5" s="1145"/>
      <c r="F5" s="1145"/>
      <c r="G5" s="1146"/>
      <c r="H5" s="1146"/>
      <c r="I5" s="1146"/>
      <c r="J5" s="1147"/>
      <c r="K5" s="1147"/>
      <c r="L5" s="1147"/>
      <c r="M5" s="1148"/>
      <c r="N5" s="1148"/>
      <c r="O5" s="1148"/>
      <c r="P5" s="1219"/>
      <c r="Q5" s="1220"/>
      <c r="R5" s="1220"/>
      <c r="S5" s="1220"/>
      <c r="T5" s="1220"/>
      <c r="U5" s="1220"/>
      <c r="V5" s="1220"/>
      <c r="W5" s="1220"/>
      <c r="X5" s="1221"/>
      <c r="Y5" s="1132"/>
      <c r="Z5" s="1132"/>
      <c r="AA5" s="1132"/>
      <c r="AB5" s="1132"/>
      <c r="AC5" s="1132"/>
      <c r="AD5" s="1132"/>
      <c r="AE5" s="1200"/>
      <c r="AF5" s="1201"/>
      <c r="AG5" s="1201"/>
      <c r="AH5" s="1202"/>
      <c r="AI5" s="1200"/>
      <c r="AJ5" s="1201"/>
      <c r="AK5" s="1201"/>
      <c r="AL5" s="1202"/>
      <c r="AM5" s="1203">
        <f>AE5-AI5</f>
        <v>0</v>
      </c>
      <c r="AN5" s="1204"/>
      <c r="AO5" s="1204"/>
      <c r="AP5" s="1205"/>
      <c r="AS5" s="83"/>
      <c r="AT5" s="1186"/>
      <c r="AU5" s="1186"/>
      <c r="AV5" s="1186"/>
      <c r="AW5" s="1186"/>
      <c r="AX5" s="1186"/>
      <c r="AY5" s="1186"/>
      <c r="AZ5" s="1186"/>
      <c r="BA5" s="84"/>
      <c r="CE5" s="1005" t="s">
        <v>2185</v>
      </c>
      <c r="CF5" s="1005"/>
      <c r="CG5" s="1005"/>
      <c r="CH5" s="1005"/>
      <c r="CI5" s="993" t="str">
        <f>IF(OR(G49="処遇加算Ⅰ",AS48="処遇加算Ⅰ"),1,"")</f>
        <v/>
      </c>
      <c r="CJ5" s="994"/>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6"/>
      <c r="AU6" s="1186"/>
      <c r="AV6" s="1186"/>
      <c r="AW6" s="1186"/>
      <c r="AX6" s="1186"/>
      <c r="AY6" s="1186"/>
      <c r="AZ6" s="1186"/>
      <c r="BA6" s="84"/>
      <c r="CE6" s="1005" t="s">
        <v>2188</v>
      </c>
      <c r="CF6" s="1005"/>
      <c r="CG6" s="1005"/>
      <c r="CH6" s="1005"/>
      <c r="CI6" s="993" t="str">
        <f>IF(OR(AH61=1,AP61=1),1,"")</f>
        <v/>
      </c>
      <c r="CJ6" s="994"/>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7"/>
      <c r="AU7" s="1187"/>
      <c r="AV7" s="1187"/>
      <c r="AW7" s="1187"/>
      <c r="AX7" s="1187"/>
      <c r="AY7" s="1187"/>
      <c r="AZ7" s="1187"/>
      <c r="BA7" s="84"/>
      <c r="CE7" s="1006" t="s">
        <v>2187</v>
      </c>
      <c r="CF7" s="1006"/>
      <c r="CG7" s="1006"/>
      <c r="CH7" s="1006"/>
      <c r="CI7" s="993" t="str">
        <f>IF(AND(AH62=1,AD41=""),1,"")</f>
        <v/>
      </c>
      <c r="CJ7" s="994"/>
    </row>
    <row r="8" spans="1:88" ht="17.25" customHeight="1" thickBot="1">
      <c r="B8" s="1049" t="s">
        <v>2145</v>
      </c>
      <c r="C8" s="1050"/>
      <c r="D8" s="1050"/>
      <c r="E8" s="1050"/>
      <c r="F8" s="1050"/>
      <c r="G8" s="1050"/>
      <c r="H8" s="1050"/>
      <c r="I8" s="1050"/>
      <c r="J8" s="1050"/>
      <c r="K8" s="1050"/>
      <c r="L8" s="1050"/>
      <c r="M8" s="1050"/>
      <c r="N8" s="1050"/>
      <c r="O8" s="1050"/>
      <c r="P8" s="1050"/>
      <c r="Q8" s="1050"/>
      <c r="R8" s="1050"/>
      <c r="S8" s="1051"/>
      <c r="T8" s="1042" t="s">
        <v>12</v>
      </c>
      <c r="U8" s="1043"/>
      <c r="V8" s="1206" t="str">
        <f>IFERROR(IF(VLOOKUP(AS1,【参考】数式用2!E6:L23,3,FALSE)="","",VLOOKUP(AS1,【参考】数式用2!E6:L23,3,FALSE)),"")</f>
        <v/>
      </c>
      <c r="W8" s="1207"/>
      <c r="X8" s="1207"/>
      <c r="Y8" s="1207"/>
      <c r="Z8" s="1208"/>
      <c r="AA8" s="1188" t="str">
        <f>IFERROR(VLOOKUP(AS1,【参考】数式用2!E6:L23,4,FALSE),"")</f>
        <v/>
      </c>
      <c r="AB8" s="1188"/>
      <c r="AC8" s="1188"/>
      <c r="AD8" s="1188"/>
      <c r="AE8" s="1188"/>
      <c r="AF8" s="1188"/>
      <c r="AG8" s="1188"/>
      <c r="AH8" s="1188"/>
      <c r="AI8" s="1188"/>
      <c r="AJ8" s="1188"/>
      <c r="AK8" s="1188"/>
      <c r="AL8" s="1188"/>
      <c r="AM8" s="1188"/>
      <c r="AN8" s="1188"/>
      <c r="AO8" s="1188"/>
      <c r="AP8" s="1189"/>
      <c r="AS8" s="83"/>
      <c r="AT8" s="989" t="str">
        <f>IF(L9="ベア加算","",IF(OR(V8="新加算Ⅰ",V8="新加算Ⅱ",V8="新加算Ⅲ",V8="新加算Ⅳ"),"○",""))</f>
        <v/>
      </c>
      <c r="AU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9" t="str">
        <f>IF(OR(V8="新加算Ⅰ",V8="新加算Ⅱ",V8="新加算Ⅲ",V8="新加算Ⅴ(１)",V8="新加算Ⅴ(３)",V8="新加算Ⅴ(８)"),"○","")</f>
        <v/>
      </c>
      <c r="AX8" s="989" t="str">
        <f>IF(OR(V8="新加算Ⅰ",V8="新加算Ⅱ",V8="新加算Ⅴ(１)",V8="新加算Ⅴ(２)",V8="新加算Ⅴ(３)",V8="新加算Ⅴ(４)",V8="新加算Ⅴ(５)",V8="新加算Ⅴ(６)",V8="新加算Ⅴ(７)",V8="新加算Ⅴ(９)",V8="新加算Ⅴ(10)",V8="新加算Ⅴ(12)"),"○","")</f>
        <v/>
      </c>
      <c r="AY8" s="989" t="str">
        <f>IF(OR(V8="新加算Ⅰ",V8="新加算Ⅴ(１)",V8="新加算Ⅴ(２)",V8="新加算Ⅴ(５)",V8="新加算Ⅴ(７)",V8="新加算Ⅴ(10)"),"○","")</f>
        <v/>
      </c>
      <c r="AZ8" s="989" t="str">
        <f>IF(OR(V8="新加算Ⅰ",V8="新加算Ⅱ",V8="新加算Ⅴ(１)",V8="新加算Ⅴ(２)",V8="新加算Ⅴ(３)",V8="新加算Ⅴ(４)",V8="新加算Ⅴ(５)",V8="新加算Ⅴ(６)",V8="新加算Ⅴ(７)",V8="新加算Ⅴ(９)",V8="新加算Ⅴ(10)",V8="新加算Ⅴ(12)"),"○","")</f>
        <v/>
      </c>
      <c r="BA8" s="84"/>
      <c r="CE8" s="1006" t="s">
        <v>2187</v>
      </c>
      <c r="CF8" s="1006"/>
      <c r="CG8" s="1006"/>
      <c r="CH8" s="1006"/>
      <c r="CI8" s="993" t="str">
        <f>IF(AND(AP62=1,AL41=""),1,"")</f>
        <v/>
      </c>
      <c r="CJ8" s="994"/>
    </row>
    <row r="9" spans="1:88" ht="26.25" customHeight="1">
      <c r="B9" s="1095"/>
      <c r="C9" s="1096"/>
      <c r="D9" s="1096"/>
      <c r="E9" s="1096"/>
      <c r="F9" s="1097"/>
      <c r="G9" s="1098"/>
      <c r="H9" s="1099"/>
      <c r="I9" s="1099"/>
      <c r="J9" s="1099"/>
      <c r="K9" s="1100"/>
      <c r="L9" s="1101"/>
      <c r="M9" s="1102"/>
      <c r="N9" s="1102"/>
      <c r="O9" s="1102"/>
      <c r="P9" s="1103"/>
      <c r="Q9" s="1149" t="s">
        <v>2051</v>
      </c>
      <c r="R9" s="1150"/>
      <c r="S9" s="1150"/>
      <c r="T9" s="1042"/>
      <c r="U9" s="1043"/>
      <c r="V9" s="1209" t="str">
        <f>IFERROR(VLOOKUP(Y5,【参考】数式用!$A$5:$AB$37,MATCH(V8,【参考】数式用!$B$4:$AB$4,0)+1,FALSE),"")</f>
        <v/>
      </c>
      <c r="W9" s="1210"/>
      <c r="X9" s="1210"/>
      <c r="Y9" s="1210"/>
      <c r="Z9" s="1211"/>
      <c r="AA9" s="1190"/>
      <c r="AB9" s="1190"/>
      <c r="AC9" s="1190"/>
      <c r="AD9" s="1190"/>
      <c r="AE9" s="1190"/>
      <c r="AF9" s="1190"/>
      <c r="AG9" s="1190"/>
      <c r="AH9" s="1190"/>
      <c r="AI9" s="1190"/>
      <c r="AJ9" s="1190"/>
      <c r="AK9" s="1190"/>
      <c r="AL9" s="1190"/>
      <c r="AM9" s="1190"/>
      <c r="AN9" s="1190"/>
      <c r="AO9" s="1190"/>
      <c r="AP9" s="1191"/>
      <c r="AS9" s="83"/>
      <c r="AT9" s="990"/>
      <c r="AU9" s="990"/>
      <c r="AV9" s="990"/>
      <c r="AW9" s="990"/>
      <c r="AX9" s="990"/>
      <c r="AY9" s="990"/>
      <c r="AZ9" s="990"/>
      <c r="BA9" s="84"/>
      <c r="CE9" s="1005" t="s">
        <v>2187</v>
      </c>
      <c r="CF9" s="1005"/>
      <c r="CG9" s="1005"/>
      <c r="CH9" s="1005"/>
      <c r="CI9" s="993" t="str">
        <f>IF(OR(AH62=1,AP62=1),1,"")</f>
        <v/>
      </c>
      <c r="CJ9" s="994"/>
    </row>
    <row r="10" spans="1:88" ht="11.25" customHeight="1">
      <c r="B10" s="1104" t="str">
        <f>IFERROR(VLOOKUP(Y5,【参考】数式用!$A$5:$J$37,MATCH(B9,【参考】数式用!$B$4:$J$4,0)+1,0),"")</f>
        <v/>
      </c>
      <c r="C10" s="1105"/>
      <c r="D10" s="1105"/>
      <c r="E10" s="1105"/>
      <c r="F10" s="1106"/>
      <c r="G10" s="1104" t="str">
        <f>IFERROR(VLOOKUP(Y5,【参考】数式用!$A$5:$J$37,MATCH(G9,【参考】数式用!$B$4:$J$4,0)+1,0),"")</f>
        <v/>
      </c>
      <c r="H10" s="1105"/>
      <c r="I10" s="1105"/>
      <c r="J10" s="1105"/>
      <c r="K10" s="1106"/>
      <c r="L10" s="1110" t="str">
        <f>IFERROR(VLOOKUP(Y5,【参考】数式用!$A$5:$J$37,MATCH(L9,【参考】数式用!$B$4:$J$4,0)+1,0),"")</f>
        <v/>
      </c>
      <c r="M10" s="1111"/>
      <c r="N10" s="1111"/>
      <c r="O10" s="1111"/>
      <c r="P10" s="1112"/>
      <c r="Q10" s="1037">
        <f>SUM(B10,G10,L10)</f>
        <v>0</v>
      </c>
      <c r="R10" s="1038"/>
      <c r="S10" s="1038"/>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5" t="s">
        <v>2190</v>
      </c>
      <c r="CF10" s="1005"/>
      <c r="CG10" s="1005"/>
      <c r="CH10" s="1005"/>
      <c r="CI10" s="993">
        <f>IF(OR(AH63=1,AP63=1),1,0)</f>
        <v>0</v>
      </c>
      <c r="CJ10" s="994"/>
    </row>
    <row r="11" spans="1:88" s="94" customFormat="1" ht="20.25" customHeight="1" thickBot="1">
      <c r="B11" s="1107"/>
      <c r="C11" s="1108"/>
      <c r="D11" s="1108"/>
      <c r="E11" s="1108"/>
      <c r="F11" s="1109"/>
      <c r="G11" s="1107"/>
      <c r="H11" s="1108"/>
      <c r="I11" s="1108"/>
      <c r="J11" s="1108"/>
      <c r="K11" s="1109"/>
      <c r="L11" s="1113"/>
      <c r="M11" s="1114"/>
      <c r="N11" s="1114"/>
      <c r="O11" s="1114"/>
      <c r="P11" s="1115"/>
      <c r="Q11" s="1037"/>
      <c r="R11" s="1038"/>
      <c r="S11" s="1038"/>
      <c r="T11" s="1044"/>
      <c r="U11" s="1043"/>
      <c r="V11" s="1128" t="str">
        <f>IFERROR(IF(VLOOKUP(AS1,【参考】数式用2!E6:L23,5,FALSE)="","",VLOOKUP(AS1,【参考】数式用2!E6:L23,5,FALSE)),"")</f>
        <v/>
      </c>
      <c r="W11" s="1128"/>
      <c r="X11" s="1128"/>
      <c r="Y11" s="1128"/>
      <c r="Z11" s="1128"/>
      <c r="AA11" s="1188" t="str">
        <f>IFERROR(VLOOKUP(AS1,【参考】数式用2!E6:L23,6,FALSE),"")</f>
        <v/>
      </c>
      <c r="AB11" s="1188"/>
      <c r="AC11" s="1188"/>
      <c r="AD11" s="1188"/>
      <c r="AE11" s="1188"/>
      <c r="AF11" s="1188"/>
      <c r="AG11" s="1188"/>
      <c r="AH11" s="1188"/>
      <c r="AI11" s="1188"/>
      <c r="AJ11" s="1188"/>
      <c r="AK11" s="1188"/>
      <c r="AL11" s="1188"/>
      <c r="AM11" s="1188"/>
      <c r="AN11" s="1188"/>
      <c r="AO11" s="1188"/>
      <c r="AP11" s="1189"/>
      <c r="AS11" s="99"/>
      <c r="AT11" s="989" t="str">
        <f>IF(L9="ベア加算","",IF(OR(V11="新加算Ⅰ",V11="新加算Ⅱ",V11="新加算Ⅲ",V11="新加算Ⅳ"),"○",""))</f>
        <v/>
      </c>
      <c r="AU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9" t="str">
        <f>IF(OR(V11="新加算Ⅰ",V11="新加算Ⅱ",V11="新加算Ⅲ",V11="新加算Ⅴ(１)",V11="新加算Ⅴ(３)",V11="新加算Ⅴ(８)"),"○","")</f>
        <v/>
      </c>
      <c r="AX11" s="989" t="str">
        <f>IF(OR(V11="新加算Ⅰ",V11="新加算Ⅱ",V11="新加算Ⅴ(１)",V11="新加算Ⅴ(２)",V11="新加算Ⅴ(３)",V11="新加算Ⅴ(４)",V11="新加算Ⅴ(５)",V11="新加算Ⅴ(６)",V11="新加算Ⅴ(７)",V11="新加算Ⅴ(９)",V11="新加算Ⅴ(10)",V11="新加算Ⅴ(12)"),"○","")</f>
        <v/>
      </c>
      <c r="AY11" s="989" t="str">
        <f>IF(OR(V11="新加算Ⅰ",V11="新加算Ⅴ(１)",V11="新加算Ⅴ(２)",V11="新加算Ⅴ(５)",V11="新加算Ⅴ(７)",V11="新加算Ⅴ(10)"),"○","")</f>
        <v/>
      </c>
      <c r="AZ11" s="989"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4"/>
      <c r="D12" s="1144"/>
      <c r="E12" s="1144"/>
      <c r="F12" s="1144"/>
      <c r="G12" s="1144"/>
      <c r="H12" s="1144"/>
      <c r="I12" s="1144"/>
      <c r="J12" s="1144"/>
      <c r="K12" s="1144"/>
      <c r="L12" s="1144"/>
      <c r="M12" s="1144"/>
      <c r="N12" s="1144"/>
      <c r="O12" s="1144"/>
      <c r="P12" s="1144"/>
      <c r="Q12" s="1144"/>
      <c r="R12" s="1144"/>
      <c r="S12" s="1144"/>
      <c r="T12" s="1044"/>
      <c r="U12" s="1043"/>
      <c r="V12" s="1218" t="str">
        <f>IFERROR(VLOOKUP(Y5,【参考】数式用!$A$5:$AB$37,MATCH(V11,【参考】数式用!$B$4:$AB$4,0)+1,FALSE),"")</f>
        <v/>
      </c>
      <c r="W12" s="1218"/>
      <c r="X12" s="1218"/>
      <c r="Y12" s="1218"/>
      <c r="Z12" s="1218"/>
      <c r="AA12" s="1190"/>
      <c r="AB12" s="1190"/>
      <c r="AC12" s="1190"/>
      <c r="AD12" s="1190"/>
      <c r="AE12" s="1190"/>
      <c r="AF12" s="1190"/>
      <c r="AG12" s="1190"/>
      <c r="AH12" s="1190"/>
      <c r="AI12" s="1190"/>
      <c r="AJ12" s="1190"/>
      <c r="AK12" s="1190"/>
      <c r="AL12" s="1190"/>
      <c r="AM12" s="1190"/>
      <c r="AN12" s="1190"/>
      <c r="AO12" s="1190"/>
      <c r="AP12" s="1191"/>
      <c r="AS12" s="83"/>
      <c r="AT12" s="990"/>
      <c r="AU12" s="990"/>
      <c r="AV12" s="990"/>
      <c r="AW12" s="990"/>
      <c r="AX12" s="990"/>
      <c r="AY12" s="990"/>
      <c r="AZ12" s="990"/>
      <c r="BA12" s="84"/>
    </row>
    <row r="13" spans="1:88" ht="12" customHeight="1">
      <c r="A13" s="78"/>
      <c r="B13" s="1160" t="s">
        <v>2115</v>
      </c>
      <c r="C13" s="1161"/>
      <c r="D13" s="1161"/>
      <c r="E13" s="1161"/>
      <c r="F13" s="1161"/>
      <c r="G13" s="1161"/>
      <c r="H13" s="1161"/>
      <c r="I13" s="1161"/>
      <c r="J13" s="1161"/>
      <c r="K13" s="1161"/>
      <c r="L13" s="1161"/>
      <c r="M13" s="1161"/>
      <c r="N13" s="1161"/>
      <c r="O13" s="1161"/>
      <c r="P13" s="1161"/>
      <c r="Q13" s="1161"/>
      <c r="R13" s="1161"/>
      <c r="S13" s="1162"/>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3"/>
      <c r="C14" s="1164"/>
      <c r="D14" s="1164"/>
      <c r="E14" s="1164"/>
      <c r="F14" s="1164"/>
      <c r="G14" s="1164"/>
      <c r="H14" s="1164"/>
      <c r="I14" s="1164"/>
      <c r="J14" s="1164"/>
      <c r="K14" s="1164"/>
      <c r="L14" s="1164"/>
      <c r="M14" s="1164"/>
      <c r="N14" s="1164"/>
      <c r="O14" s="1164"/>
      <c r="P14" s="1164"/>
      <c r="Q14" s="1164"/>
      <c r="R14" s="1164"/>
      <c r="S14" s="1165"/>
      <c r="U14" s="434"/>
      <c r="V14" s="1128" t="str">
        <f>IFERROR(IF(VLOOKUP(AS1,【参考】数式用2!E6:L23,7,FALSE)="","",VLOOKUP(AS1,【参考】数式用2!E6:L23,7,FALSE)),"")</f>
        <v/>
      </c>
      <c r="W14" s="1128"/>
      <c r="X14" s="1128"/>
      <c r="Y14" s="1128"/>
      <c r="Z14" s="1128"/>
      <c r="AA14" s="1192" t="str">
        <f>IFERROR(VLOOKUP(AS1,【参考】数式用2!E6:L23,8,FALSE),"")</f>
        <v/>
      </c>
      <c r="AB14" s="1188"/>
      <c r="AC14" s="1188"/>
      <c r="AD14" s="1188"/>
      <c r="AE14" s="1188"/>
      <c r="AF14" s="1188"/>
      <c r="AG14" s="1188"/>
      <c r="AH14" s="1188"/>
      <c r="AI14" s="1188"/>
      <c r="AJ14" s="1188"/>
      <c r="AK14" s="1188"/>
      <c r="AL14" s="1188"/>
      <c r="AM14" s="1188"/>
      <c r="AN14" s="1188"/>
      <c r="AO14" s="1188"/>
      <c r="AP14" s="1189"/>
      <c r="AS14" s="83"/>
      <c r="AT14" s="989" t="str">
        <f>IF(L9="ベア加算","",IF(OR(V14="新加算Ⅰ",V14="新加算Ⅱ",V14="新加算Ⅲ",V14="新加算Ⅳ"),"○",""))</f>
        <v/>
      </c>
      <c r="AU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9" t="str">
        <f>IF(OR(V14="新加算Ⅰ",V14="新加算Ⅱ",V14="新加算Ⅲ",V14="新加算Ⅴ(１)",V14="新加算Ⅴ(３)",V14="新加算Ⅴ(８)"),"○","")</f>
        <v/>
      </c>
      <c r="AX14" s="989" t="str">
        <f>IF(OR(V14="新加算Ⅰ",V14="新加算Ⅱ",V14="新加算Ⅴ(１)",V14="新加算Ⅴ(２)",V14="新加算Ⅴ(３)",V14="新加算Ⅴ(４)",V14="新加算Ⅴ(５)",V14="新加算Ⅴ(６)",V14="新加算Ⅴ(７)",V14="新加算Ⅴ(９)",V14="新加算Ⅴ(10)",V14="新加算Ⅴ(12)"),"○","")</f>
        <v/>
      </c>
      <c r="AY14" s="989" t="str">
        <f>IF(OR(V14="新加算Ⅰ",V14="新加算Ⅴ(１)",V14="新加算Ⅴ(２)",V14="新加算Ⅴ(５)",V14="新加算Ⅴ(７)",V14="新加算Ⅴ(10)"),"○","")</f>
        <v/>
      </c>
      <c r="AZ14" s="989"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51" t="s">
        <v>2109</v>
      </c>
      <c r="C15" s="1152"/>
      <c r="D15" s="54">
        <v>6</v>
      </c>
      <c r="E15" s="437" t="s">
        <v>2110</v>
      </c>
      <c r="F15" s="54">
        <v>4</v>
      </c>
      <c r="G15" s="437" t="s">
        <v>2111</v>
      </c>
      <c r="H15" s="1153" t="s">
        <v>2112</v>
      </c>
      <c r="I15" s="1153"/>
      <c r="J15" s="1166"/>
      <c r="K15" s="54">
        <v>7</v>
      </c>
      <c r="L15" s="437" t="s">
        <v>2110</v>
      </c>
      <c r="M15" s="54">
        <v>3</v>
      </c>
      <c r="N15" s="437" t="s">
        <v>2111</v>
      </c>
      <c r="O15" s="437" t="s">
        <v>2113</v>
      </c>
      <c r="P15" s="104">
        <f>(K15*12+M15)-(D15*12+F15)+1</f>
        <v>12</v>
      </c>
      <c r="Q15" s="1153" t="s">
        <v>2114</v>
      </c>
      <c r="R15" s="1153"/>
      <c r="S15" s="105" t="s">
        <v>69</v>
      </c>
      <c r="U15" s="434"/>
      <c r="V15" s="1154" t="str">
        <f>IFERROR(VLOOKUP(Y5,【参考】数式用!$A$5:$AB$37,MATCH(V14,【参考】数式用!$B$4:$AB$4,0)+1,FALSE),"")</f>
        <v/>
      </c>
      <c r="W15" s="1155"/>
      <c r="X15" s="1155"/>
      <c r="Y15" s="1155"/>
      <c r="Z15" s="1156"/>
      <c r="AA15" s="1067"/>
      <c r="AB15" s="1068"/>
      <c r="AC15" s="1068"/>
      <c r="AD15" s="1068"/>
      <c r="AE15" s="1068"/>
      <c r="AF15" s="1068"/>
      <c r="AG15" s="1068"/>
      <c r="AH15" s="1068"/>
      <c r="AI15" s="1068"/>
      <c r="AJ15" s="1068"/>
      <c r="AK15" s="1068"/>
      <c r="AL15" s="1068"/>
      <c r="AM15" s="1068"/>
      <c r="AN15" s="1068"/>
      <c r="AO15" s="1068"/>
      <c r="AP15" s="1193"/>
      <c r="AS15" s="83"/>
      <c r="AT15" s="995"/>
      <c r="AU15" s="995"/>
      <c r="AV15" s="995"/>
      <c r="AW15" s="995"/>
      <c r="AX15" s="995"/>
      <c r="AY15" s="995"/>
      <c r="AZ15" s="995"/>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7"/>
      <c r="W16" s="1158"/>
      <c r="X16" s="1158"/>
      <c r="Y16" s="1158"/>
      <c r="Z16" s="1159"/>
      <c r="AA16" s="1194"/>
      <c r="AB16" s="1195"/>
      <c r="AC16" s="1195"/>
      <c r="AD16" s="1195"/>
      <c r="AE16" s="1195"/>
      <c r="AF16" s="1195"/>
      <c r="AG16" s="1195"/>
      <c r="AH16" s="1195"/>
      <c r="AI16" s="1195"/>
      <c r="AJ16" s="1195"/>
      <c r="AK16" s="1195"/>
      <c r="AL16" s="1195"/>
      <c r="AM16" s="1195"/>
      <c r="AN16" s="1195"/>
      <c r="AO16" s="1195"/>
      <c r="AP16" s="1196"/>
      <c r="AS16" s="83"/>
      <c r="AT16" s="990"/>
      <c r="AU16" s="990"/>
      <c r="AV16" s="990"/>
      <c r="AW16" s="990"/>
      <c r="AX16" s="990"/>
      <c r="AY16" s="990"/>
      <c r="AZ16" s="990"/>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3" t="s">
        <v>2062</v>
      </c>
      <c r="C18" s="1053"/>
      <c r="D18" s="1053"/>
      <c r="E18" s="1053"/>
      <c r="F18" s="1053"/>
      <c r="G18" s="1053"/>
      <c r="H18" s="1053"/>
      <c r="I18" s="1053"/>
      <c r="J18" s="1053"/>
      <c r="K18" s="1053"/>
      <c r="L18" s="1053"/>
      <c r="M18" s="1053"/>
      <c r="N18" s="1053"/>
      <c r="O18" s="1053"/>
      <c r="P18" s="1053"/>
      <c r="Q18" s="1053"/>
      <c r="R18" s="1053"/>
      <c r="S18" s="1053"/>
      <c r="AI18" s="116"/>
      <c r="AJ18" s="116"/>
      <c r="AK18" s="116"/>
      <c r="AL18" s="116"/>
      <c r="AM18" s="116"/>
      <c r="AN18" s="116"/>
      <c r="AO18" s="116"/>
      <c r="AP18" s="116"/>
      <c r="AQ18" s="116"/>
    </row>
    <row r="19" spans="2:60" ht="6" customHeight="1" thickBot="1">
      <c r="B19" s="1053"/>
      <c r="C19" s="1053"/>
      <c r="D19" s="1053"/>
      <c r="E19" s="1053"/>
      <c r="F19" s="1053"/>
      <c r="G19" s="1053"/>
      <c r="H19" s="1053"/>
      <c r="I19" s="1053"/>
      <c r="J19" s="1053"/>
      <c r="K19" s="1053"/>
      <c r="L19" s="1053"/>
      <c r="M19" s="1053"/>
      <c r="N19" s="1053"/>
      <c r="O19" s="1053"/>
      <c r="P19" s="1053"/>
      <c r="Q19" s="1053"/>
      <c r="R19" s="1053"/>
      <c r="S19" s="1053"/>
      <c r="AI19" s="116"/>
      <c r="AJ19" s="116"/>
      <c r="AK19" s="116"/>
      <c r="AL19" s="116"/>
      <c r="AM19" s="116"/>
      <c r="AN19" s="116"/>
      <c r="AO19" s="116"/>
      <c r="AP19" s="116"/>
      <c r="AQ19" s="116"/>
    </row>
    <row r="20" spans="2:60" ht="13"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988" t="s">
        <v>215</v>
      </c>
      <c r="W20" s="988"/>
      <c r="X20" s="988"/>
      <c r="Y20" s="988"/>
      <c r="Z20" s="988"/>
      <c r="AA20" s="91"/>
      <c r="AB20" s="91"/>
      <c r="AC20" s="988" t="str">
        <f>IF(F15=4,"R6.4～R6.5",IF(F15=5,"R6.5",""))</f>
        <v>R6.4～R6.5</v>
      </c>
      <c r="AD20" s="988"/>
      <c r="AE20" s="988"/>
      <c r="AF20" s="988"/>
      <c r="AG20" s="988"/>
      <c r="AH20" s="988"/>
      <c r="AI20" s="91"/>
      <c r="AJ20" s="91"/>
      <c r="AK20" s="988" t="str">
        <f>IF(OR(F15=4,F15=5),"R6.6","R"&amp;D15&amp;"."&amp;F15)&amp;"～R"&amp;K15&amp;"."&amp;M15</f>
        <v>R6.6～R7.3</v>
      </c>
      <c r="AL20" s="988"/>
      <c r="AM20" s="988"/>
      <c r="AN20" s="988"/>
      <c r="AO20" s="988"/>
      <c r="AP20" s="98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49999999999999" customHeight="1">
      <c r="B21" s="1117" t="s">
        <v>2121</v>
      </c>
      <c r="C21" s="1118"/>
      <c r="D21" s="1118"/>
      <c r="E21" s="1118"/>
      <c r="F21" s="1119"/>
      <c r="G21" s="1064" t="s">
        <v>216</v>
      </c>
      <c r="H21" s="1065"/>
      <c r="I21" s="1065"/>
      <c r="J21" s="1065"/>
      <c r="K21" s="1065"/>
      <c r="L21" s="1065"/>
      <c r="M21" s="1065"/>
      <c r="N21" s="1065"/>
      <c r="O21" s="1065"/>
      <c r="P21" s="1065"/>
      <c r="Q21" s="1065"/>
      <c r="R21" s="1065"/>
      <c r="S21" s="1065"/>
      <c r="T21" s="1066"/>
      <c r="U21" s="118"/>
      <c r="V21" s="438" t="str">
        <f>IFERROR(IF(L9="ベア加算","✓",""),"")</f>
        <v/>
      </c>
      <c r="W21" s="1015" t="s">
        <v>14</v>
      </c>
      <c r="X21" s="1015"/>
      <c r="Y21" s="1015"/>
      <c r="Z21" s="1015"/>
      <c r="AA21" s="1042" t="s">
        <v>12</v>
      </c>
      <c r="AB21" s="1043"/>
      <c r="AC21" s="120"/>
      <c r="AD21" s="1168" t="s">
        <v>14</v>
      </c>
      <c r="AE21" s="1168"/>
      <c r="AF21" s="1168"/>
      <c r="AG21" s="1168"/>
      <c r="AH21" s="1168"/>
      <c r="AI21" s="1042" t="s">
        <v>12</v>
      </c>
      <c r="AJ21" s="1043"/>
      <c r="AK21" s="121"/>
      <c r="AL21" s="1168" t="s">
        <v>14</v>
      </c>
      <c r="AM21" s="1168"/>
      <c r="AN21" s="1168"/>
      <c r="AO21" s="1168"/>
      <c r="AP21" s="1168"/>
      <c r="AS21" s="999"/>
      <c r="AT21" s="1000"/>
      <c r="AU21" s="1000"/>
      <c r="AV21" s="1000"/>
      <c r="AW21" s="1000"/>
      <c r="AX21" s="1000"/>
      <c r="AY21" s="1000"/>
      <c r="AZ21" s="1000"/>
      <c r="BA21" s="1000"/>
      <c r="BB21" s="1000"/>
      <c r="BC21" s="1000"/>
      <c r="BD21" s="1000"/>
      <c r="BE21" s="1000"/>
      <c r="BF21" s="1000"/>
      <c r="BG21" s="1000"/>
      <c r="BH21" s="1001"/>
    </row>
    <row r="22" spans="2:60" ht="17.149999999999999" customHeight="1" thickBot="1">
      <c r="B22" s="1123"/>
      <c r="C22" s="1124"/>
      <c r="D22" s="1124"/>
      <c r="E22" s="1124"/>
      <c r="F22" s="1125"/>
      <c r="G22" s="1070"/>
      <c r="H22" s="1071"/>
      <c r="I22" s="1071"/>
      <c r="J22" s="1071"/>
      <c r="K22" s="1071"/>
      <c r="L22" s="1071"/>
      <c r="M22" s="1071"/>
      <c r="N22" s="1071"/>
      <c r="O22" s="1071"/>
      <c r="P22" s="1071"/>
      <c r="Q22" s="1071"/>
      <c r="R22" s="1071"/>
      <c r="S22" s="1071"/>
      <c r="T22" s="1072"/>
      <c r="U22" s="118"/>
      <c r="V22" s="122" t="str">
        <f>IFERROR(IF(L9="ベア加算なし","✓",""),"")</f>
        <v/>
      </c>
      <c r="W22" s="1023" t="s">
        <v>15</v>
      </c>
      <c r="X22" s="1015"/>
      <c r="Y22" s="1024"/>
      <c r="Z22" s="1025"/>
      <c r="AA22" s="1042"/>
      <c r="AB22" s="1043"/>
      <c r="AC22" s="120"/>
      <c r="AD22" s="1015" t="s">
        <v>15</v>
      </c>
      <c r="AE22" s="1015"/>
      <c r="AF22" s="1015"/>
      <c r="AG22" s="1015"/>
      <c r="AH22" s="1015"/>
      <c r="AI22" s="1042"/>
      <c r="AJ22" s="1043"/>
      <c r="AK22" s="121"/>
      <c r="AL22" s="1015" t="s">
        <v>15</v>
      </c>
      <c r="AM22" s="1015"/>
      <c r="AN22" s="1015"/>
      <c r="AO22" s="1015"/>
      <c r="AP22" s="1015"/>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7" t="s">
        <v>2067</v>
      </c>
      <c r="C24" s="1118"/>
      <c r="D24" s="1118"/>
      <c r="E24" s="1118"/>
      <c r="F24" s="1119"/>
      <c r="G24" s="1064" t="s">
        <v>2320</v>
      </c>
      <c r="H24" s="1065"/>
      <c r="I24" s="1065"/>
      <c r="J24" s="1065"/>
      <c r="K24" s="1065"/>
      <c r="L24" s="1065"/>
      <c r="M24" s="1065"/>
      <c r="N24" s="1065"/>
      <c r="O24" s="1065"/>
      <c r="P24" s="1065"/>
      <c r="Q24" s="1065"/>
      <c r="R24" s="1065"/>
      <c r="S24" s="1065"/>
      <c r="T24" s="1066"/>
      <c r="U24" s="118"/>
      <c r="V24" s="438" t="str">
        <f>IFERROR(IF(OR(B9="処遇加算Ⅰ",B9="処遇加算Ⅱ"),"✓",""),"")</f>
        <v/>
      </c>
      <c r="W24" s="1073" t="s">
        <v>2096</v>
      </c>
      <c r="X24" s="1074"/>
      <c r="Y24" s="1074"/>
      <c r="Z24" s="1075"/>
      <c r="AA24" s="1042" t="s">
        <v>12</v>
      </c>
      <c r="AB24" s="1043"/>
      <c r="AC24" s="120"/>
      <c r="AD24" s="1116" t="s">
        <v>14</v>
      </c>
      <c r="AE24" s="1116"/>
      <c r="AF24" s="1116"/>
      <c r="AG24" s="1116"/>
      <c r="AH24" s="1116"/>
      <c r="AI24" s="1042" t="s">
        <v>12</v>
      </c>
      <c r="AJ24" s="1043"/>
      <c r="AK24" s="120"/>
      <c r="AL24" s="1116" t="s">
        <v>14</v>
      </c>
      <c r="AM24" s="1116"/>
      <c r="AN24" s="1116"/>
      <c r="AO24" s="1116"/>
      <c r="AP24" s="1116"/>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20"/>
      <c r="C25" s="1121"/>
      <c r="D25" s="1121"/>
      <c r="E25" s="1121"/>
      <c r="F25" s="1122"/>
      <c r="G25" s="1067"/>
      <c r="H25" s="1068"/>
      <c r="I25" s="1068"/>
      <c r="J25" s="1068"/>
      <c r="K25" s="1068"/>
      <c r="L25" s="1068"/>
      <c r="M25" s="1068"/>
      <c r="N25" s="1068"/>
      <c r="O25" s="1068"/>
      <c r="P25" s="1068"/>
      <c r="Q25" s="1068"/>
      <c r="R25" s="1068"/>
      <c r="S25" s="1068"/>
      <c r="T25" s="1069"/>
      <c r="U25" s="118"/>
      <c r="V25" s="438" t="str">
        <f>IFERROR(IF(B9="処遇加算Ⅲ","✓",""),"")</f>
        <v/>
      </c>
      <c r="W25" s="1073" t="s">
        <v>19</v>
      </c>
      <c r="X25" s="1074"/>
      <c r="Y25" s="1074"/>
      <c r="Z25" s="1075"/>
      <c r="AA25" s="1042"/>
      <c r="AB25" s="1043"/>
      <c r="AC25" s="120"/>
      <c r="AD25" s="1016" t="s">
        <v>17</v>
      </c>
      <c r="AE25" s="1016"/>
      <c r="AF25" s="1016"/>
      <c r="AG25" s="1016"/>
      <c r="AH25" s="1016"/>
      <c r="AI25" s="1042"/>
      <c r="AJ25" s="1043"/>
      <c r="AK25" s="121"/>
      <c r="AL25" s="1016" t="s">
        <v>17</v>
      </c>
      <c r="AM25" s="1016"/>
      <c r="AN25" s="1016"/>
      <c r="AO25" s="1016"/>
      <c r="AP25" s="1016"/>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123"/>
      <c r="C26" s="1124"/>
      <c r="D26" s="1124"/>
      <c r="E26" s="1124"/>
      <c r="F26" s="1125"/>
      <c r="G26" s="1070"/>
      <c r="H26" s="1071"/>
      <c r="I26" s="1071"/>
      <c r="J26" s="1071"/>
      <c r="K26" s="1071"/>
      <c r="L26" s="1071"/>
      <c r="M26" s="1071"/>
      <c r="N26" s="1071"/>
      <c r="O26" s="1071"/>
      <c r="P26" s="1071"/>
      <c r="Q26" s="1071"/>
      <c r="R26" s="1071"/>
      <c r="S26" s="1071"/>
      <c r="T26" s="1072"/>
      <c r="U26" s="92"/>
      <c r="V26" s="438" t="str">
        <f>IFERROR(IF(B9="処遇加算なし","✓",""),"")</f>
        <v/>
      </c>
      <c r="W26" s="1073" t="s">
        <v>2097</v>
      </c>
      <c r="X26" s="1074"/>
      <c r="Y26" s="1074"/>
      <c r="Z26" s="1075"/>
      <c r="AA26" s="1042"/>
      <c r="AB26" s="1043"/>
      <c r="AC26" s="120"/>
      <c r="AD26" s="1116" t="s">
        <v>15</v>
      </c>
      <c r="AE26" s="1116"/>
      <c r="AF26" s="1116"/>
      <c r="AG26" s="1116"/>
      <c r="AH26" s="1116"/>
      <c r="AI26" s="1042"/>
      <c r="AJ26" s="1043"/>
      <c r="AK26" s="121"/>
      <c r="AL26" s="1116" t="s">
        <v>15</v>
      </c>
      <c r="AM26" s="1116"/>
      <c r="AN26" s="1116"/>
      <c r="AO26" s="1116"/>
      <c r="AP26" s="1116"/>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7" t="s">
        <v>2068</v>
      </c>
      <c r="C28" s="1118"/>
      <c r="D28" s="1118"/>
      <c r="E28" s="1118"/>
      <c r="F28" s="1119"/>
      <c r="G28" s="1064" t="s">
        <v>2321</v>
      </c>
      <c r="H28" s="1065"/>
      <c r="I28" s="1065"/>
      <c r="J28" s="1065"/>
      <c r="K28" s="1065"/>
      <c r="L28" s="1065"/>
      <c r="M28" s="1065"/>
      <c r="N28" s="1065"/>
      <c r="O28" s="1065"/>
      <c r="P28" s="1065"/>
      <c r="Q28" s="1065"/>
      <c r="R28" s="1065"/>
      <c r="S28" s="1065"/>
      <c r="T28" s="1066"/>
      <c r="U28" s="118"/>
      <c r="V28" s="438" t="str">
        <f>IFERROR(IF(OR(B9="処遇加算Ⅰ",B9="処遇加算Ⅱ"),"✓",""),"")</f>
        <v/>
      </c>
      <c r="W28" s="1073" t="s">
        <v>2096</v>
      </c>
      <c r="X28" s="1074"/>
      <c r="Y28" s="1074"/>
      <c r="Z28" s="1075"/>
      <c r="AA28" s="1042" t="s">
        <v>12</v>
      </c>
      <c r="AB28" s="1043"/>
      <c r="AC28" s="120"/>
      <c r="AD28" s="1116" t="s">
        <v>14</v>
      </c>
      <c r="AE28" s="1116"/>
      <c r="AF28" s="1116"/>
      <c r="AG28" s="1116"/>
      <c r="AH28" s="1116"/>
      <c r="AI28" s="1042" t="s">
        <v>12</v>
      </c>
      <c r="AJ28" s="1043"/>
      <c r="AK28" s="120"/>
      <c r="AL28" s="1116" t="s">
        <v>14</v>
      </c>
      <c r="AM28" s="1116"/>
      <c r="AN28" s="1116"/>
      <c r="AO28" s="1116"/>
      <c r="AP28" s="1116"/>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20"/>
      <c r="C29" s="1121"/>
      <c r="D29" s="1121"/>
      <c r="E29" s="1121"/>
      <c r="F29" s="1122"/>
      <c r="G29" s="1067"/>
      <c r="H29" s="1068"/>
      <c r="I29" s="1068"/>
      <c r="J29" s="1068"/>
      <c r="K29" s="1068"/>
      <c r="L29" s="1068"/>
      <c r="M29" s="1068"/>
      <c r="N29" s="1068"/>
      <c r="O29" s="1068"/>
      <c r="P29" s="1068"/>
      <c r="Q29" s="1068"/>
      <c r="R29" s="1068"/>
      <c r="S29" s="1068"/>
      <c r="T29" s="1069"/>
      <c r="U29" s="118"/>
      <c r="V29" s="438" t="str">
        <f>IFERROR(IF(B9="処遇加算Ⅲ","✓",""),"")</f>
        <v/>
      </c>
      <c r="W29" s="1073" t="s">
        <v>19</v>
      </c>
      <c r="X29" s="1074"/>
      <c r="Y29" s="1074"/>
      <c r="Z29" s="1075"/>
      <c r="AA29" s="1042"/>
      <c r="AB29" s="1043"/>
      <c r="AC29" s="120"/>
      <c r="AD29" s="1016" t="s">
        <v>17</v>
      </c>
      <c r="AE29" s="1016"/>
      <c r="AF29" s="1016"/>
      <c r="AG29" s="1016"/>
      <c r="AH29" s="1016"/>
      <c r="AI29" s="1042"/>
      <c r="AJ29" s="1043"/>
      <c r="AK29" s="121"/>
      <c r="AL29" s="1016" t="s">
        <v>17</v>
      </c>
      <c r="AM29" s="1016"/>
      <c r="AN29" s="1016"/>
      <c r="AO29" s="1016"/>
      <c r="AP29" s="1016"/>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123"/>
      <c r="C30" s="1124"/>
      <c r="D30" s="1124"/>
      <c r="E30" s="1124"/>
      <c r="F30" s="1125"/>
      <c r="G30" s="1070"/>
      <c r="H30" s="1071"/>
      <c r="I30" s="1071"/>
      <c r="J30" s="1071"/>
      <c r="K30" s="1071"/>
      <c r="L30" s="1071"/>
      <c r="M30" s="1071"/>
      <c r="N30" s="1071"/>
      <c r="O30" s="1071"/>
      <c r="P30" s="1071"/>
      <c r="Q30" s="1071"/>
      <c r="R30" s="1071"/>
      <c r="S30" s="1071"/>
      <c r="T30" s="1072"/>
      <c r="U30" s="92"/>
      <c r="V30" s="438" t="str">
        <f>IFERROR(IF(B9="処遇加算なし","✓",""),"")</f>
        <v/>
      </c>
      <c r="W30" s="1073" t="s">
        <v>2097</v>
      </c>
      <c r="X30" s="1074"/>
      <c r="Y30" s="1074"/>
      <c r="Z30" s="1075"/>
      <c r="AA30" s="1042"/>
      <c r="AB30" s="1043"/>
      <c r="AC30" s="120"/>
      <c r="AD30" s="1116" t="s">
        <v>15</v>
      </c>
      <c r="AE30" s="1116"/>
      <c r="AF30" s="1116"/>
      <c r="AG30" s="1116"/>
      <c r="AH30" s="1116"/>
      <c r="AI30" s="1042"/>
      <c r="AJ30" s="1043"/>
      <c r="AK30" s="121"/>
      <c r="AL30" s="1116" t="s">
        <v>15</v>
      </c>
      <c r="AM30" s="1116"/>
      <c r="AN30" s="1116"/>
      <c r="AO30" s="1116"/>
      <c r="AP30" s="1116"/>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4" t="s">
        <v>2069</v>
      </c>
      <c r="C32" s="1094"/>
      <c r="D32" s="1094"/>
      <c r="E32" s="1094"/>
      <c r="F32" s="1094"/>
      <c r="G32" s="1064" t="s">
        <v>2322</v>
      </c>
      <c r="H32" s="1065"/>
      <c r="I32" s="1065"/>
      <c r="J32" s="1065"/>
      <c r="K32" s="1065"/>
      <c r="L32" s="1065"/>
      <c r="M32" s="1065"/>
      <c r="N32" s="1065"/>
      <c r="O32" s="1065"/>
      <c r="P32" s="1065"/>
      <c r="Q32" s="1065"/>
      <c r="R32" s="1065"/>
      <c r="S32" s="1065"/>
      <c r="T32" s="1066"/>
      <c r="U32" s="118"/>
      <c r="V32" s="438" t="str">
        <f>IFERROR(IF(B9="処遇加算Ⅰ","✓",""),"")</f>
        <v/>
      </c>
      <c r="W32" s="1023" t="s">
        <v>14</v>
      </c>
      <c r="X32" s="1024"/>
      <c r="Y32" s="1024"/>
      <c r="Z32" s="1025"/>
      <c r="AA32" s="1044" t="s">
        <v>12</v>
      </c>
      <c r="AB32" s="1043"/>
      <c r="AC32" s="120"/>
      <c r="AD32" s="1116" t="s">
        <v>14</v>
      </c>
      <c r="AE32" s="1116"/>
      <c r="AF32" s="1116"/>
      <c r="AG32" s="1116"/>
      <c r="AH32" s="1116"/>
      <c r="AI32" s="1044" t="s">
        <v>12</v>
      </c>
      <c r="AJ32" s="1043"/>
      <c r="AK32" s="120"/>
      <c r="AL32" s="1116" t="s">
        <v>14</v>
      </c>
      <c r="AM32" s="1116"/>
      <c r="AN32" s="1116"/>
      <c r="AO32" s="1116"/>
      <c r="AP32" s="1116"/>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094"/>
      <c r="C33" s="1094"/>
      <c r="D33" s="1094"/>
      <c r="E33" s="1094"/>
      <c r="F33" s="1094"/>
      <c r="G33" s="1067"/>
      <c r="H33" s="1068"/>
      <c r="I33" s="1068"/>
      <c r="J33" s="1068"/>
      <c r="K33" s="1068"/>
      <c r="L33" s="1068"/>
      <c r="M33" s="1068"/>
      <c r="N33" s="1068"/>
      <c r="O33" s="1068"/>
      <c r="P33" s="1068"/>
      <c r="Q33" s="1068"/>
      <c r="R33" s="1068"/>
      <c r="S33" s="1068"/>
      <c r="T33" s="1069"/>
      <c r="U33" s="118"/>
      <c r="V33" s="438" t="str">
        <f>IFERROR(IF(AND(B9&lt;&gt;"",B9&lt;&gt;"処遇加算Ⅰ"),"✓",""),"")</f>
        <v/>
      </c>
      <c r="W33" s="1023" t="s">
        <v>15</v>
      </c>
      <c r="X33" s="1024"/>
      <c r="Y33" s="1024"/>
      <c r="Z33" s="1025"/>
      <c r="AA33" s="1044"/>
      <c r="AB33" s="1043"/>
      <c r="AC33" s="120"/>
      <c r="AD33" s="1171" t="s">
        <v>17</v>
      </c>
      <c r="AE33" s="1171"/>
      <c r="AF33" s="1171"/>
      <c r="AG33" s="1171"/>
      <c r="AH33" s="1171"/>
      <c r="AI33" s="1044"/>
      <c r="AJ33" s="1043"/>
      <c r="AK33" s="130"/>
      <c r="AL33" s="1016" t="s">
        <v>17</v>
      </c>
      <c r="AM33" s="1016"/>
      <c r="AN33" s="1016"/>
      <c r="AO33" s="1016"/>
      <c r="AP33" s="1016"/>
      <c r="AS33" s="999"/>
      <c r="AT33" s="1000"/>
      <c r="AU33" s="1000"/>
      <c r="AV33" s="1000"/>
      <c r="AW33" s="1000"/>
      <c r="AX33" s="1000"/>
      <c r="AY33" s="1000"/>
      <c r="AZ33" s="1000"/>
      <c r="BA33" s="1000"/>
      <c r="BB33" s="1000"/>
      <c r="BC33" s="1000"/>
      <c r="BD33" s="1000"/>
      <c r="BE33" s="1000"/>
      <c r="BF33" s="1000"/>
      <c r="BG33" s="1000"/>
      <c r="BH33" s="1001"/>
    </row>
    <row r="34" spans="2:82" ht="18.75" customHeight="1" thickBot="1">
      <c r="B34" s="1094"/>
      <c r="C34" s="1094"/>
      <c r="D34" s="1094"/>
      <c r="E34" s="1094"/>
      <c r="F34" s="1094"/>
      <c r="G34" s="1070"/>
      <c r="H34" s="1071"/>
      <c r="I34" s="1071"/>
      <c r="J34" s="1071"/>
      <c r="K34" s="1071"/>
      <c r="L34" s="1071"/>
      <c r="M34" s="1071"/>
      <c r="N34" s="1071"/>
      <c r="O34" s="1071"/>
      <c r="P34" s="1071"/>
      <c r="Q34" s="1071"/>
      <c r="R34" s="1071"/>
      <c r="S34" s="1071"/>
      <c r="T34" s="1072"/>
      <c r="U34" s="92"/>
      <c r="V34" s="125"/>
      <c r="W34" s="97"/>
      <c r="X34" s="97"/>
      <c r="Y34" s="97"/>
      <c r="Z34" s="97"/>
      <c r="AA34" s="1044"/>
      <c r="AB34" s="1043"/>
      <c r="AC34" s="120"/>
      <c r="AD34" s="1015" t="s">
        <v>15</v>
      </c>
      <c r="AE34" s="1015"/>
      <c r="AF34" s="1015"/>
      <c r="AG34" s="1015"/>
      <c r="AH34" s="1015"/>
      <c r="AI34" s="1044"/>
      <c r="AJ34" s="1043"/>
      <c r="AK34" s="120"/>
      <c r="AL34" s="1015" t="s">
        <v>15</v>
      </c>
      <c r="AM34" s="1015"/>
      <c r="AN34" s="1015"/>
      <c r="AO34" s="1015"/>
      <c r="AP34" s="1015"/>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49999999999999" customHeight="1">
      <c r="B36" s="1094" t="s">
        <v>2070</v>
      </c>
      <c r="C36" s="1094"/>
      <c r="D36" s="1094"/>
      <c r="E36" s="1094"/>
      <c r="F36" s="1094"/>
      <c r="G36" s="1135" t="s">
        <v>2323</v>
      </c>
      <c r="H36" s="1136"/>
      <c r="I36" s="1136"/>
      <c r="J36" s="1136"/>
      <c r="K36" s="1136"/>
      <c r="L36" s="1136"/>
      <c r="M36" s="1136"/>
      <c r="N36" s="1136"/>
      <c r="O36" s="1136"/>
      <c r="P36" s="1136"/>
      <c r="Q36" s="1136"/>
      <c r="R36" s="1136"/>
      <c r="S36" s="1136"/>
      <c r="T36" s="1137"/>
      <c r="U36" s="118"/>
      <c r="V36" s="438" t="str">
        <f>IFERROR(IF(OR(G9="特定加算Ⅰ",G9="特定加算Ⅱ"),"✓",""),"")</f>
        <v/>
      </c>
      <c r="W36" s="1023" t="s">
        <v>14</v>
      </c>
      <c r="X36" s="1024"/>
      <c r="Y36" s="1024"/>
      <c r="Z36" s="1025"/>
      <c r="AA36" s="1042" t="s">
        <v>12</v>
      </c>
      <c r="AB36" s="1043"/>
      <c r="AC36" s="120"/>
      <c r="AD36" s="1015" t="s">
        <v>14</v>
      </c>
      <c r="AE36" s="1015"/>
      <c r="AF36" s="1015"/>
      <c r="AG36" s="1015"/>
      <c r="AH36" s="1015"/>
      <c r="AI36" s="1042" t="s">
        <v>12</v>
      </c>
      <c r="AJ36" s="1043"/>
      <c r="AK36" s="120"/>
      <c r="AL36" s="1015" t="s">
        <v>14</v>
      </c>
      <c r="AM36" s="1015"/>
      <c r="AN36" s="1015"/>
      <c r="AO36" s="1015"/>
      <c r="AP36" s="1015"/>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094"/>
      <c r="C37" s="1094"/>
      <c r="D37" s="1094"/>
      <c r="E37" s="1094"/>
      <c r="F37" s="1094"/>
      <c r="G37" s="1138"/>
      <c r="H37" s="1139"/>
      <c r="I37" s="1139"/>
      <c r="J37" s="1139"/>
      <c r="K37" s="1139"/>
      <c r="L37" s="1139"/>
      <c r="M37" s="1139"/>
      <c r="N37" s="1139"/>
      <c r="O37" s="1139"/>
      <c r="P37" s="1139"/>
      <c r="Q37" s="1139"/>
      <c r="R37" s="1139"/>
      <c r="S37" s="1139"/>
      <c r="T37" s="1140"/>
      <c r="U37" s="118"/>
      <c r="V37" s="438" t="str">
        <f>IFERROR(IF(G9="特定加算なし","✓",""),"")</f>
        <v/>
      </c>
      <c r="W37" s="1023" t="s">
        <v>15</v>
      </c>
      <c r="X37" s="1024"/>
      <c r="Y37" s="1024"/>
      <c r="Z37" s="1025"/>
      <c r="AA37" s="1042"/>
      <c r="AB37" s="1043"/>
      <c r="AC37" s="1172" t="s">
        <v>2175</v>
      </c>
      <c r="AD37" s="1173"/>
      <c r="AE37" s="1173"/>
      <c r="AF37" s="1173"/>
      <c r="AG37" s="1174"/>
      <c r="AH37" s="1175"/>
      <c r="AI37" s="1042"/>
      <c r="AJ37" s="1043"/>
      <c r="AK37" s="1172" t="s">
        <v>2175</v>
      </c>
      <c r="AL37" s="1173"/>
      <c r="AM37" s="1173"/>
      <c r="AN37" s="1173"/>
      <c r="AO37" s="1174"/>
      <c r="AP37" s="1175"/>
      <c r="AS37" s="999"/>
      <c r="AT37" s="1000"/>
      <c r="AU37" s="1000"/>
      <c r="AV37" s="1000"/>
      <c r="AW37" s="1000"/>
      <c r="AX37" s="1000"/>
      <c r="AY37" s="1000"/>
      <c r="AZ37" s="1000"/>
      <c r="BA37" s="1000"/>
      <c r="BB37" s="1000"/>
      <c r="BC37" s="1000"/>
      <c r="BD37" s="1000"/>
      <c r="BE37" s="1000"/>
      <c r="BF37" s="1000"/>
      <c r="BG37" s="1000"/>
      <c r="BH37" s="1001"/>
    </row>
    <row r="38" spans="2:82" ht="17.149999999999999" customHeight="1" thickBot="1">
      <c r="B38" s="1094"/>
      <c r="C38" s="1094"/>
      <c r="D38" s="1094"/>
      <c r="E38" s="1094"/>
      <c r="F38" s="1094"/>
      <c r="G38" s="1141"/>
      <c r="H38" s="1142"/>
      <c r="I38" s="1142"/>
      <c r="J38" s="1142"/>
      <c r="K38" s="1142"/>
      <c r="L38" s="1142"/>
      <c r="M38" s="1142"/>
      <c r="N38" s="1142"/>
      <c r="O38" s="1142"/>
      <c r="P38" s="1142"/>
      <c r="Q38" s="1142"/>
      <c r="R38" s="1142"/>
      <c r="S38" s="1142"/>
      <c r="T38" s="1143"/>
      <c r="U38" s="118"/>
      <c r="Z38" s="133"/>
      <c r="AA38" s="1044"/>
      <c r="AB38" s="1043"/>
      <c r="AC38" s="120"/>
      <c r="AD38" s="1015" t="s">
        <v>15</v>
      </c>
      <c r="AE38" s="1015"/>
      <c r="AF38" s="1015"/>
      <c r="AG38" s="1015"/>
      <c r="AH38" s="1015"/>
      <c r="AI38" s="1042"/>
      <c r="AJ38" s="1043"/>
      <c r="AK38" s="120"/>
      <c r="AL38" s="1015" t="s">
        <v>15</v>
      </c>
      <c r="AM38" s="1015"/>
      <c r="AN38" s="1015"/>
      <c r="AO38" s="1015"/>
      <c r="AP38" s="1015"/>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49999999999999" customHeight="1">
      <c r="B40" s="1094" t="s">
        <v>2071</v>
      </c>
      <c r="C40" s="1094"/>
      <c r="D40" s="1094"/>
      <c r="E40" s="1094"/>
      <c r="F40" s="1094"/>
      <c r="G40" s="1064" t="str">
        <f>IFERROR(VLOOKUP(Y5,【参考】数式用!AQ5:AR37,2,0),"")</f>
        <v/>
      </c>
      <c r="H40" s="1065"/>
      <c r="I40" s="1065"/>
      <c r="J40" s="1065"/>
      <c r="K40" s="1065"/>
      <c r="L40" s="1065"/>
      <c r="M40" s="1065"/>
      <c r="N40" s="1065"/>
      <c r="O40" s="1065"/>
      <c r="P40" s="1065"/>
      <c r="Q40" s="1065"/>
      <c r="R40" s="1065"/>
      <c r="S40" s="1065"/>
      <c r="T40" s="1066"/>
      <c r="U40" s="92"/>
      <c r="V40" s="438" t="str">
        <f>IFERROR(IF(G9="特定加算Ⅰ","✓",""),"")</f>
        <v/>
      </c>
      <c r="W40" s="1023" t="s">
        <v>14</v>
      </c>
      <c r="X40" s="1024"/>
      <c r="Y40" s="1024"/>
      <c r="Z40" s="1025"/>
      <c r="AA40" s="1042" t="s">
        <v>12</v>
      </c>
      <c r="AB40" s="1043"/>
      <c r="AC40" s="120"/>
      <c r="AD40" s="1015" t="s">
        <v>14</v>
      </c>
      <c r="AE40" s="1015"/>
      <c r="AF40" s="1015"/>
      <c r="AG40" s="1015"/>
      <c r="AH40" s="1015"/>
      <c r="AI40" s="1042" t="s">
        <v>12</v>
      </c>
      <c r="AJ40" s="1043"/>
      <c r="AK40" s="120"/>
      <c r="AL40" s="1015" t="s">
        <v>14</v>
      </c>
      <c r="AM40" s="1015"/>
      <c r="AN40" s="1015"/>
      <c r="AO40" s="1015"/>
      <c r="AP40" s="1015"/>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094"/>
      <c r="C41" s="1094"/>
      <c r="D41" s="1094"/>
      <c r="E41" s="1094"/>
      <c r="F41" s="1094"/>
      <c r="G41" s="1067"/>
      <c r="H41" s="1068"/>
      <c r="I41" s="1068"/>
      <c r="J41" s="1068"/>
      <c r="K41" s="1068"/>
      <c r="L41" s="1068"/>
      <c r="M41" s="1068"/>
      <c r="N41" s="1068"/>
      <c r="O41" s="1068"/>
      <c r="P41" s="1068"/>
      <c r="Q41" s="1068"/>
      <c r="R41" s="1068"/>
      <c r="S41" s="1068"/>
      <c r="T41" s="1069"/>
      <c r="U41" s="92"/>
      <c r="V41" s="438" t="str">
        <f>IFERROR(IF(OR(G9="特定加算Ⅱ",G9="特定加算なし"),"✓",""),"")</f>
        <v/>
      </c>
      <c r="W41" s="1023" t="s">
        <v>15</v>
      </c>
      <c r="X41" s="1024"/>
      <c r="Y41" s="1024"/>
      <c r="Z41" s="1025"/>
      <c r="AA41" s="1042"/>
      <c r="AB41" s="1043"/>
      <c r="AC41" s="134" t="s">
        <v>82</v>
      </c>
      <c r="AD41" s="1079"/>
      <c r="AE41" s="1080"/>
      <c r="AF41" s="1080"/>
      <c r="AG41" s="1080"/>
      <c r="AH41" s="1081"/>
      <c r="AI41" s="1042"/>
      <c r="AJ41" s="1043"/>
      <c r="AK41" s="134" t="s">
        <v>82</v>
      </c>
      <c r="AL41" s="1079"/>
      <c r="AM41" s="1080"/>
      <c r="AN41" s="1080"/>
      <c r="AO41" s="1080"/>
      <c r="AP41" s="1081"/>
      <c r="AS41" s="999"/>
      <c r="AT41" s="1000"/>
      <c r="AU41" s="1000"/>
      <c r="AV41" s="1000"/>
      <c r="AW41" s="1000"/>
      <c r="AX41" s="1000"/>
      <c r="AY41" s="1000"/>
      <c r="AZ41" s="1000"/>
      <c r="BA41" s="1000"/>
      <c r="BB41" s="1000"/>
      <c r="BC41" s="1000"/>
      <c r="BD41" s="1000"/>
      <c r="BE41" s="1000"/>
      <c r="BF41" s="1000"/>
      <c r="BG41" s="1000"/>
      <c r="BH41" s="1001"/>
    </row>
    <row r="42" spans="2:82" ht="17.149999999999999" customHeight="1" thickBot="1">
      <c r="B42" s="1094"/>
      <c r="C42" s="1094"/>
      <c r="D42" s="1094"/>
      <c r="E42" s="1094"/>
      <c r="F42" s="1094"/>
      <c r="G42" s="1070"/>
      <c r="H42" s="1071"/>
      <c r="I42" s="1071"/>
      <c r="J42" s="1071"/>
      <c r="K42" s="1071"/>
      <c r="L42" s="1071"/>
      <c r="M42" s="1071"/>
      <c r="N42" s="1071"/>
      <c r="O42" s="1071"/>
      <c r="P42" s="1071"/>
      <c r="Q42" s="1071"/>
      <c r="R42" s="1071"/>
      <c r="S42" s="1071"/>
      <c r="T42" s="1072"/>
      <c r="U42" s="92"/>
      <c r="V42" s="85"/>
      <c r="W42" s="135"/>
      <c r="X42" s="135"/>
      <c r="Y42" s="135"/>
      <c r="Z42" s="135"/>
      <c r="AA42" s="435"/>
      <c r="AB42" s="435"/>
      <c r="AC42" s="136"/>
      <c r="AD42" s="1015" t="s">
        <v>15</v>
      </c>
      <c r="AE42" s="1015"/>
      <c r="AF42" s="1015"/>
      <c r="AG42" s="1015"/>
      <c r="AH42" s="1015"/>
      <c r="AI42" s="435"/>
      <c r="AJ42" s="435"/>
      <c r="AK42" s="136"/>
      <c r="AL42" s="1015" t="s">
        <v>15</v>
      </c>
      <c r="AM42" s="1015"/>
      <c r="AN42" s="1015"/>
      <c r="AO42" s="1015"/>
      <c r="AP42" s="1015"/>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49999999999999" customHeight="1">
      <c r="B44" s="1094" t="s">
        <v>2072</v>
      </c>
      <c r="C44" s="1094"/>
      <c r="D44" s="1094"/>
      <c r="E44" s="1094"/>
      <c r="F44" s="1094"/>
      <c r="G44" s="1064" t="s">
        <v>2356</v>
      </c>
      <c r="H44" s="1065"/>
      <c r="I44" s="1065"/>
      <c r="J44" s="1065"/>
      <c r="K44" s="1065"/>
      <c r="L44" s="1065"/>
      <c r="M44" s="1065"/>
      <c r="N44" s="1065"/>
      <c r="O44" s="1065"/>
      <c r="P44" s="1065"/>
      <c r="Q44" s="1065"/>
      <c r="R44" s="1065"/>
      <c r="S44" s="1065"/>
      <c r="T44" s="1066"/>
      <c r="U44" s="118"/>
      <c r="V44" s="438" t="str">
        <f>IFERROR(IF(OR(G9="特定加算Ⅰ",G9="特定加算Ⅱ"),"✓",""),"")</f>
        <v/>
      </c>
      <c r="W44" s="1023" t="s">
        <v>14</v>
      </c>
      <c r="X44" s="1024"/>
      <c r="Y44" s="1024"/>
      <c r="Z44" s="1025"/>
      <c r="AA44" s="1042" t="s">
        <v>12</v>
      </c>
      <c r="AB44" s="1043"/>
      <c r="AC44" s="120"/>
      <c r="AD44" s="1015" t="s">
        <v>14</v>
      </c>
      <c r="AE44" s="1015"/>
      <c r="AF44" s="1015"/>
      <c r="AG44" s="1015"/>
      <c r="AH44" s="1015"/>
      <c r="AI44" s="1042" t="s">
        <v>12</v>
      </c>
      <c r="AJ44" s="1043"/>
      <c r="AK44" s="120"/>
      <c r="AL44" s="1015" t="s">
        <v>14</v>
      </c>
      <c r="AM44" s="1015"/>
      <c r="AN44" s="1015"/>
      <c r="AO44" s="1015"/>
      <c r="AP44" s="1015"/>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49999999999999" customHeight="1" thickBot="1">
      <c r="B45" s="1094"/>
      <c r="C45" s="1094"/>
      <c r="D45" s="1094"/>
      <c r="E45" s="1094"/>
      <c r="F45" s="1094"/>
      <c r="G45" s="1070"/>
      <c r="H45" s="1071"/>
      <c r="I45" s="1071"/>
      <c r="J45" s="1071"/>
      <c r="K45" s="1071"/>
      <c r="L45" s="1071"/>
      <c r="M45" s="1071"/>
      <c r="N45" s="1071"/>
      <c r="O45" s="1071"/>
      <c r="P45" s="1071"/>
      <c r="Q45" s="1071"/>
      <c r="R45" s="1071"/>
      <c r="S45" s="1071"/>
      <c r="T45" s="1072"/>
      <c r="U45" s="118"/>
      <c r="V45" s="438" t="str">
        <f>IFERROR(IF(G9="特定加算なし","✓",""),"")</f>
        <v/>
      </c>
      <c r="W45" s="1023" t="s">
        <v>15</v>
      </c>
      <c r="X45" s="1024"/>
      <c r="Y45" s="1024"/>
      <c r="Z45" s="1025"/>
      <c r="AA45" s="1042"/>
      <c r="AB45" s="1043"/>
      <c r="AC45" s="120"/>
      <c r="AD45" s="1015" t="s">
        <v>15</v>
      </c>
      <c r="AE45" s="1015"/>
      <c r="AF45" s="1015"/>
      <c r="AG45" s="1015"/>
      <c r="AH45" s="1015"/>
      <c r="AI45" s="1042"/>
      <c r="AJ45" s="1043"/>
      <c r="AK45" s="120"/>
      <c r="AL45" s="1015" t="s">
        <v>15</v>
      </c>
      <c r="AM45" s="1015"/>
      <c r="AN45" s="1015"/>
      <c r="AO45" s="1015"/>
      <c r="AP45" s="1015"/>
      <c r="AS45" s="1002"/>
      <c r="AT45" s="1003"/>
      <c r="AU45" s="1003"/>
      <c r="AV45" s="1003"/>
      <c r="AW45" s="1003"/>
      <c r="AX45" s="1003"/>
      <c r="AY45" s="1003"/>
      <c r="AZ45" s="1003"/>
      <c r="BA45" s="1003"/>
      <c r="BB45" s="1003"/>
      <c r="BC45" s="1003"/>
      <c r="BD45" s="1003"/>
      <c r="BE45" s="1003"/>
      <c r="BF45" s="1003"/>
      <c r="BG45" s="1003"/>
      <c r="BH45" s="1004"/>
      <c r="BO45" s="138"/>
    </row>
    <row r="46" spans="2:82" ht="6.75" customHeight="1">
      <c r="B46" s="124"/>
      <c r="AJ46" s="139"/>
      <c r="AK46" s="139"/>
      <c r="AL46" s="139"/>
      <c r="AM46" s="139"/>
      <c r="AN46" s="139"/>
      <c r="AO46" s="139"/>
      <c r="AP46" s="139"/>
    </row>
    <row r="47" spans="2:82" ht="21" customHeight="1">
      <c r="B47" s="1053" t="s">
        <v>2136</v>
      </c>
      <c r="C47" s="1053"/>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 customHeight="1" thickBot="1">
      <c r="B48" s="1091"/>
      <c r="C48" s="1092"/>
      <c r="D48" s="1092"/>
      <c r="E48" s="1092"/>
      <c r="F48" s="1093"/>
      <c r="G48" s="1049" t="str">
        <f>IF(F15=4,"R6.4～R6.5",IF(F15=5,"R6.5",""))</f>
        <v>R6.4～R6.5</v>
      </c>
      <c r="H48" s="1050"/>
      <c r="I48" s="1050"/>
      <c r="J48" s="1050"/>
      <c r="K48" s="1050"/>
      <c r="L48" s="1050"/>
      <c r="M48" s="1050"/>
      <c r="N48" s="1050"/>
      <c r="O48" s="1050"/>
      <c r="P48" s="1050"/>
      <c r="Q48" s="1050"/>
      <c r="R48" s="1050"/>
      <c r="S48" s="1050"/>
      <c r="T48" s="1050"/>
      <c r="U48" s="1050"/>
      <c r="V48" s="1050"/>
      <c r="W48" s="1050"/>
      <c r="X48" s="1050"/>
      <c r="Y48" s="1050"/>
      <c r="Z48" s="1051"/>
      <c r="AA48" s="1042" t="s">
        <v>12</v>
      </c>
      <c r="AB48" s="1043"/>
      <c r="AC48" s="1045" t="str">
        <f>IF(OR(F15=4,F15=5),"R6.6","R"&amp;D15&amp;"."&amp;F15)&amp;"～R"&amp;K15&amp;"."&amp;M15</f>
        <v>R6.6～R7.3</v>
      </c>
      <c r="AD48" s="1045"/>
      <c r="AE48" s="1045"/>
      <c r="AF48" s="1045"/>
      <c r="AG48" s="1045"/>
      <c r="AH48" s="1045"/>
      <c r="AS48" s="1019" t="str">
        <f>IFERROR(IF(AND(OR(AP58=1,AP58=2),OR(AP59=1,AP59=2),OR(AP60=1,AP60=2)),"処遇加算Ⅰ",IF(AND(OR(AP58=1,AP58=2),OR(AP59=1,AP59=2),OR(AP60=0,AP60=3)),"処遇加算Ⅱ",IF(OR(OR(AP58=1,AP58=2),OR(AP59=1,AP59=2)),"処遇加算Ⅲ",""))),"")</f>
        <v/>
      </c>
      <c r="AT48" s="1019"/>
      <c r="AU48" s="1019"/>
      <c r="AV48" s="1019"/>
      <c r="AW48" s="1019" t="str">
        <f>IFERROR(IF(AND(AP61=1,AP62=1,AP63=1),"特定加算Ⅰ",IF(AND(AP61=1,AP62=2,AP63=1),"特定加算Ⅱ",IF(OR(AP61=2,AP62=2,AP63=2),"特定加算なし",""))),"")</f>
        <v>特定加算なし</v>
      </c>
      <c r="AX48" s="1019"/>
      <c r="AY48" s="1019"/>
      <c r="AZ48" s="1019"/>
      <c r="BA48" s="1019" t="str">
        <f>IFERROR(IF(OR(L9="ベア加算",AP57=1),"ベア加算",IF(AP57=2,"ベア加算なし","")),"")</f>
        <v/>
      </c>
      <c r="BB48" s="1019"/>
      <c r="BC48" s="1019"/>
      <c r="BD48" s="1019"/>
      <c r="BE48" s="1170" t="str">
        <f>AS48&amp;AW48&amp;BA48</f>
        <v>特定加算なし</v>
      </c>
      <c r="BF48" s="1170"/>
      <c r="BG48" s="1170"/>
      <c r="BH48" s="1170"/>
      <c r="BI48" s="1170"/>
      <c r="BJ48" s="1170"/>
      <c r="BK48" s="1170"/>
      <c r="BL48" s="1170"/>
      <c r="BM48" s="1170"/>
      <c r="BN48" s="1170"/>
      <c r="BO48" s="1170"/>
      <c r="BP48" s="1170"/>
      <c r="BQ48" s="141"/>
      <c r="BR48" s="141"/>
      <c r="BS48" s="141"/>
      <c r="BT48" s="141"/>
      <c r="BU48" s="141"/>
      <c r="BV48" s="141"/>
      <c r="BW48" s="141"/>
      <c r="BX48" s="141"/>
      <c r="BY48" s="141"/>
      <c r="BZ48" s="141"/>
      <c r="CD48" s="142"/>
    </row>
    <row r="49" spans="2:86" ht="18" customHeight="1">
      <c r="B49" s="1076" t="s">
        <v>2015</v>
      </c>
      <c r="C49" s="1077"/>
      <c r="D49" s="1077"/>
      <c r="E49" s="1077"/>
      <c r="F49" s="1078"/>
      <c r="G49" s="1046" t="str">
        <f>IFERROR(IF(AND(OR(AH58=1,AH58=2),OR(AH59=1,AH59=2),OR(AH60=1,AH60=2)),"処遇加算Ⅰ",IF(AND(OR(AH58=1,AH58=2),OR(AH59=1,AH59=2),OR(AH60=0,AH60=3)),"処遇加算Ⅱ",IF(OR(OR(AH58=1,AH58=2),OR(AH59=1,AH59=2)),"処遇加算Ⅲ",""))),"")</f>
        <v/>
      </c>
      <c r="H49" s="1047"/>
      <c r="I49" s="1047"/>
      <c r="J49" s="1047"/>
      <c r="K49" s="1048"/>
      <c r="L49" s="1061" t="str">
        <f>IFERROR(IF(G9="","",IF(AND(AH61=1,AH62=1,AH63=1),"特定加算Ⅰ",IF(AND(AH61=1,AH62=2,AH63=1),"特定加算Ⅱ",IF(OR(AH61=2,AH62=2,AH63=2),"特定加算なし","")))),"")</f>
        <v/>
      </c>
      <c r="M49" s="1062"/>
      <c r="N49" s="1062"/>
      <c r="O49" s="1062"/>
      <c r="P49" s="1063"/>
      <c r="Q49" s="1082" t="str">
        <f>IFERROR(IF(OR(L9="ベア加算",AND(L9="ベア加算なし",AH57=1)),"ベア加算",IF(AH57=2,"ベア加算なし","")),"")</f>
        <v/>
      </c>
      <c r="R49" s="1047"/>
      <c r="S49" s="1047"/>
      <c r="T49" s="1047"/>
      <c r="U49" s="1083"/>
      <c r="V49" s="1084" t="s">
        <v>10</v>
      </c>
      <c r="W49" s="1085"/>
      <c r="X49" s="1085"/>
      <c r="Y49" s="1085"/>
      <c r="Z49" s="1085"/>
      <c r="AA49" s="1044"/>
      <c r="AB49" s="1044"/>
      <c r="AC49" s="1026" t="str">
        <f>IFERROR(VLOOKUP(BE48,【参考】数式用2!E6:F23,2,FALSE),"")</f>
        <v/>
      </c>
      <c r="AD49" s="1027"/>
      <c r="AE49" s="1027"/>
      <c r="AF49" s="1027"/>
      <c r="AG49" s="1027"/>
      <c r="AH49" s="1028"/>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6" t="s">
        <v>2016</v>
      </c>
      <c r="C50" s="1077"/>
      <c r="D50" s="1077"/>
      <c r="E50" s="1077"/>
      <c r="F50" s="1078"/>
      <c r="G50" s="1029" t="str">
        <f>IFERROR(VLOOKUP(Y5,【参考】数式用!$A$5:$J$37,MATCH(G49,【参考】数式用!$B$4:$J$4,0)+1,0),"")</f>
        <v/>
      </c>
      <c r="H50" s="1030"/>
      <c r="I50" s="1030"/>
      <c r="J50" s="1030"/>
      <c r="K50" s="1031"/>
      <c r="L50" s="1032" t="str">
        <f>IFERROR(VLOOKUP(Y5,【参考】数式用!$A$5:$J$37,MATCH(L49,【参考】数式用!$B$4:$J$4,0)+1,0),"")</f>
        <v/>
      </c>
      <c r="M50" s="1033"/>
      <c r="N50" s="1033"/>
      <c r="O50" s="1033"/>
      <c r="P50" s="1034"/>
      <c r="Q50" s="1035" t="str">
        <f>IFERROR(VLOOKUP(Y5,【参考】数式用!$A$5:$J$37,MATCH(Q49,【参考】数式用!$B$4:$J$4,0)+1,0),"")</f>
        <v/>
      </c>
      <c r="R50" s="1030"/>
      <c r="S50" s="1030"/>
      <c r="T50" s="1030"/>
      <c r="U50" s="1036"/>
      <c r="V50" s="1037">
        <f>SUM(G50,L50,Q50)</f>
        <v>0</v>
      </c>
      <c r="W50" s="1038"/>
      <c r="X50" s="1038"/>
      <c r="Y50" s="1038"/>
      <c r="Z50" s="1038"/>
      <c r="AA50" s="1044"/>
      <c r="AB50" s="1044"/>
      <c r="AC50" s="1039" t="str">
        <f>IFERROR(VLOOKUP(Y5,【参考】数式用!$A$5:$AB$37,MATCH(AC49,【参考】数式用!$B$4:$AB$4,0)+1,FALSE),"")</f>
        <v/>
      </c>
      <c r="AD50" s="1040"/>
      <c r="AE50" s="1040"/>
      <c r="AF50" s="1040"/>
      <c r="AG50" s="1040"/>
      <c r="AH50" s="1041"/>
      <c r="AS50" s="1018" t="s">
        <v>2046</v>
      </c>
      <c r="AT50" s="1018"/>
      <c r="AU50" s="1018"/>
      <c r="AV50" s="1018"/>
      <c r="AW50" s="1018" t="s">
        <v>2047</v>
      </c>
      <c r="AX50" s="1018"/>
      <c r="AY50" s="1018"/>
      <c r="AZ50" s="1018"/>
      <c r="BA50" s="1018" t="s">
        <v>13</v>
      </c>
      <c r="BB50" s="1018"/>
      <c r="BC50" s="1018"/>
      <c r="BD50" s="1018"/>
      <c r="BE50" s="1018" t="s">
        <v>2048</v>
      </c>
      <c r="BF50" s="1018"/>
      <c r="BG50" s="1018"/>
      <c r="BH50" s="1018"/>
      <c r="BI50" s="1018" t="s">
        <v>2051</v>
      </c>
      <c r="BJ50" s="1018"/>
      <c r="BK50" s="1018"/>
      <c r="BL50" s="1018"/>
      <c r="BM50" s="141"/>
      <c r="BN50" s="1018" t="s">
        <v>2050</v>
      </c>
      <c r="BO50" s="1018"/>
      <c r="BP50" s="1018"/>
      <c r="BQ50" s="1018"/>
      <c r="BR50" s="1018"/>
      <c r="BS50" s="1018"/>
      <c r="BT50" s="141"/>
      <c r="BV50" s="1007" t="s">
        <v>2053</v>
      </c>
      <c r="BW50" s="1008"/>
      <c r="BX50" s="1008"/>
      <c r="BY50" s="1008"/>
      <c r="BZ50" s="1008"/>
      <c r="CA50" s="1009"/>
      <c r="CD50" s="142"/>
    </row>
    <row r="51" spans="2:86" ht="17.25" customHeight="1">
      <c r="B51" s="1020" t="s">
        <v>2120</v>
      </c>
      <c r="C51" s="1021"/>
      <c r="D51" s="1021"/>
      <c r="E51" s="1021"/>
      <c r="F51" s="1022"/>
      <c r="G51" s="1052" t="str">
        <f>IFERROR(ROUNDDOWN(ROUND(AM5*G50,0),0)*H53,"")</f>
        <v/>
      </c>
      <c r="H51" s="1052"/>
      <c r="I51" s="1052"/>
      <c r="J51" s="1052"/>
      <c r="K51" s="55" t="s">
        <v>2116</v>
      </c>
      <c r="L51" s="1133" t="str">
        <f>IFERROR(ROUNDDOWN(ROUND(AM5*L50,0),0)*H53,"")</f>
        <v/>
      </c>
      <c r="M51" s="1134"/>
      <c r="N51" s="1134"/>
      <c r="O51" s="1134"/>
      <c r="P51" s="55" t="s">
        <v>2116</v>
      </c>
      <c r="Q51" s="1058" t="str">
        <f>IFERROR(ROUNDDOWN(ROUND(AM5*Q50,0),0)*H53,"")</f>
        <v/>
      </c>
      <c r="R51" s="1052"/>
      <c r="S51" s="1052"/>
      <c r="T51" s="1052"/>
      <c r="U51" s="56" t="s">
        <v>2116</v>
      </c>
      <c r="V51" s="1059">
        <f>IFERROR(SUM(G51,L51,Q51),"")</f>
        <v>0</v>
      </c>
      <c r="W51" s="1060"/>
      <c r="X51" s="1060"/>
      <c r="Y51" s="1060"/>
      <c r="Z51" s="57" t="s">
        <v>2116</v>
      </c>
      <c r="AB51" s="58"/>
      <c r="AC51" s="1058" t="str">
        <f>IFERROR(ROUNDDOWN(ROUND(AM5*AC50,0),0)*AD53,"")</f>
        <v/>
      </c>
      <c r="AD51" s="1052"/>
      <c r="AE51" s="1052"/>
      <c r="AF51" s="1052"/>
      <c r="AG51" s="1052"/>
      <c r="AH51" s="56" t="s">
        <v>2116</v>
      </c>
      <c r="AS51" s="1017" t="str">
        <f>IFERROR(ROUNDDOWN(ROUND(AM5*(G50-B10),0),0)*H53,"")</f>
        <v/>
      </c>
      <c r="AT51" s="1017"/>
      <c r="AU51" s="1017"/>
      <c r="AV51" s="1017"/>
      <c r="AW51" s="1017" t="str">
        <f>IFERROR(ROUNDDOWN(ROUND(AM5*(L50-G10),0),0)*H53,"")</f>
        <v/>
      </c>
      <c r="AX51" s="1017"/>
      <c r="AY51" s="1017"/>
      <c r="AZ51" s="1017"/>
      <c r="BA51" s="1017" t="str">
        <f>IFERROR(ROUNDDOWN(ROUND(AM5*(Q50-L10),0),0)*H53,"")</f>
        <v/>
      </c>
      <c r="BB51" s="1017"/>
      <c r="BC51" s="1017"/>
      <c r="BD51" s="1017"/>
      <c r="BE51" s="1017" t="str">
        <f>IFERROR(ROUNDDOWN(ROUND(AM5*(AC50-Q10),0),0)*AD53,"")</f>
        <v/>
      </c>
      <c r="BF51" s="1017"/>
      <c r="BG51" s="1017"/>
      <c r="BH51" s="1017"/>
      <c r="BI51" s="1017">
        <f>SUM(AS51:BH51)</f>
        <v>0</v>
      </c>
      <c r="BJ51" s="1017"/>
      <c r="BK51" s="1017"/>
      <c r="BL51" s="1017"/>
      <c r="BM51" s="141"/>
      <c r="BN51" s="1017" t="str">
        <f>IFERROR(ROUNDDOWN(ROUNDDOWN(ROUND(AM5*(VLOOKUP(Y5,【参考】数式用!$A$5:$AB$37,14,FALSE)),0),0)*AD53*0.5,0),"")</f>
        <v/>
      </c>
      <c r="BO51" s="1017"/>
      <c r="BP51" s="1017"/>
      <c r="BQ51" s="1017"/>
      <c r="BR51" s="1017"/>
      <c r="BS51" s="1017"/>
      <c r="BT51" s="141"/>
      <c r="BV51" s="1010">
        <f>IF(AND(Q49="ベア加算なし",BA48="ベア加算"),ROUNDDOWN(ROUND(AM5*VLOOKUP(Y5,【参考】数式用!$A$5:$AB$37,9,FALSE),0),0)*AD53,0)</f>
        <v>0</v>
      </c>
      <c r="BW51" s="1011"/>
      <c r="BX51" s="1011"/>
      <c r="BY51" s="1011"/>
      <c r="BZ51" s="1011"/>
      <c r="CA51" s="1012"/>
      <c r="CD51" s="142"/>
    </row>
    <row r="52" spans="2:86" ht="13.5" customHeight="1">
      <c r="B52" s="1020"/>
      <c r="C52" s="1021"/>
      <c r="D52" s="1021"/>
      <c r="E52" s="1021"/>
      <c r="F52" s="1022"/>
      <c r="G52" s="1056" t="str">
        <f>IFERROR("("&amp;TEXT(G51/H53,"#,##0円")&amp;"/月)","")</f>
        <v/>
      </c>
      <c r="H52" s="1057"/>
      <c r="I52" s="1057"/>
      <c r="J52" s="1057"/>
      <c r="K52" s="1057"/>
      <c r="L52" s="1054" t="str">
        <f>IFERROR("("&amp;TEXT(L51/H53,"#,##0円")&amp;"/月)","")</f>
        <v/>
      </c>
      <c r="M52" s="1055"/>
      <c r="N52" s="1055"/>
      <c r="O52" s="1055"/>
      <c r="P52" s="1056"/>
      <c r="Q52" s="1057" t="str">
        <f>IFERROR("("&amp;TEXT(Q51/H53,"#,##0円")&amp;"/月)","")</f>
        <v/>
      </c>
      <c r="R52" s="1057"/>
      <c r="S52" s="1057"/>
      <c r="T52" s="1057"/>
      <c r="U52" s="1057"/>
      <c r="V52" s="1057" t="str">
        <f>IFERROR("("&amp;TEXT(V51/H53,"#,##0円")&amp;"/月)","")</f>
        <v>(0円/月)</v>
      </c>
      <c r="W52" s="1057"/>
      <c r="X52" s="1057"/>
      <c r="Y52" s="1057"/>
      <c r="Z52" s="1057"/>
      <c r="AB52" s="58"/>
      <c r="AC52" s="1054" t="str">
        <f>IFERROR("("&amp;TEXT(AC51/AD53,"#,##0円")&amp;"/月)","")</f>
        <v/>
      </c>
      <c r="AD52" s="1055"/>
      <c r="AE52" s="1055"/>
      <c r="AF52" s="1055"/>
      <c r="AG52" s="1055"/>
      <c r="AH52" s="1056"/>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176" t="s">
        <v>2202</v>
      </c>
      <c r="AT56" s="1176"/>
      <c r="AU56" s="1176"/>
      <c r="AV56" s="1176"/>
      <c r="AW56" s="1176" t="s">
        <v>2201</v>
      </c>
      <c r="AX56" s="1176"/>
      <c r="AY56" s="1176"/>
      <c r="AZ56" s="1176"/>
    </row>
    <row r="57" spans="2:86" ht="16"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184"/>
      <c r="AT57" s="1184"/>
      <c r="AU57" s="1184"/>
      <c r="AV57" s="1184"/>
      <c r="AW57" s="1177"/>
      <c r="AX57" s="1177"/>
      <c r="AY57" s="1177"/>
      <c r="AZ57" s="1177"/>
      <c r="BP57" s="151"/>
      <c r="BR57" s="151"/>
      <c r="BS57" s="151"/>
      <c r="BT57" s="151"/>
      <c r="BU57" s="151"/>
      <c r="BV57" s="151"/>
      <c r="BW57" s="151"/>
      <c r="BX57" s="151"/>
      <c r="BY57" s="151"/>
      <c r="BZ57" s="151"/>
      <c r="CA57" s="151"/>
      <c r="CB57" s="151"/>
      <c r="CC57" s="151"/>
      <c r="CD57" s="151"/>
      <c r="CE57" s="151"/>
      <c r="CF57" s="151"/>
      <c r="CH57" s="154"/>
    </row>
    <row r="58" spans="2:86" ht="16" customHeight="1">
      <c r="U58" s="1217" t="s">
        <v>2055</v>
      </c>
      <c r="V58" s="1217"/>
      <c r="W58" s="1217"/>
      <c r="X58" s="1217"/>
      <c r="Y58" s="1217"/>
      <c r="Z58" s="539" t="str">
        <f>IF(AND(B9&lt;&gt;"処遇加算なし",F15=4),IF(V24="✓",1,IF(V25="✓",2,IF(V26="✓",3,""))),"")</f>
        <v/>
      </c>
      <c r="AA58" s="536"/>
      <c r="AB58" s="537"/>
      <c r="AC58" s="1217" t="s">
        <v>2055</v>
      </c>
      <c r="AD58" s="1217"/>
      <c r="AE58" s="1217"/>
      <c r="AF58" s="1217"/>
      <c r="AG58" s="1217"/>
      <c r="AH58" s="425">
        <f>IF(AND(F15&lt;&gt;4,F15&lt;&gt;5),0,IF(AU8="○",1,3))</f>
        <v>3</v>
      </c>
      <c r="AI58" s="537"/>
      <c r="AJ58" s="537"/>
      <c r="AK58" s="1217" t="s">
        <v>2055</v>
      </c>
      <c r="AL58" s="1217"/>
      <c r="AM58" s="1217"/>
      <c r="AN58" s="1217"/>
      <c r="AO58" s="1217"/>
      <c r="AP58" s="425">
        <f>IF(AU8="○",1,3)</f>
        <v>3</v>
      </c>
      <c r="AQ58" s="145"/>
      <c r="AR58" s="145"/>
      <c r="AS58" s="1018" t="str">
        <f>IF(OR(AND(Z58=1,AH58=3),AND(Z58=1,AP58=3),AND(Z58=2,AH58=3,AH59=3),AND(Z58=2,AP58=3,AP59=3)),"○","")</f>
        <v/>
      </c>
      <c r="AT58" s="1018"/>
      <c r="AU58" s="1018"/>
      <c r="AV58" s="1018"/>
      <c r="AW58" s="1018" t="str">
        <f>IF(OR(AND(Z58=1,AH58=2),AND(Z58=1,AP58=2),AND(Z58=2,AH58=2,AH59=2),AND(Z58=2,AP58=2,AP59=2)),"○","")</f>
        <v/>
      </c>
      <c r="AX58" s="1018"/>
      <c r="AY58" s="1018"/>
      <c r="AZ58" s="1018"/>
      <c r="BP58" s="151"/>
      <c r="BR58" s="151"/>
      <c r="BS58" s="151"/>
      <c r="BT58" s="151"/>
      <c r="BU58" s="151"/>
      <c r="BV58" s="151"/>
      <c r="BW58" s="151"/>
      <c r="BX58" s="151"/>
      <c r="BY58" s="151"/>
      <c r="BZ58" s="151"/>
      <c r="CA58" s="151"/>
      <c r="CB58" s="151"/>
      <c r="CC58" s="151"/>
      <c r="CD58" s="151"/>
      <c r="CE58" s="151"/>
      <c r="CF58" s="151"/>
      <c r="CH58" s="154"/>
    </row>
    <row r="59" spans="2:86" ht="16" customHeight="1">
      <c r="U59" s="1217" t="s">
        <v>2056</v>
      </c>
      <c r="V59" s="1217"/>
      <c r="W59" s="1217"/>
      <c r="X59" s="1217"/>
      <c r="Y59" s="1217"/>
      <c r="Z59" s="539" t="str">
        <f>IF(AND(B9&lt;&gt;"処遇加算なし",F15=4),IF(V28="✓",1,IF(V29="✓",2,IF(V30="✓",3,""))),"")</f>
        <v/>
      </c>
      <c r="AA59" s="536"/>
      <c r="AB59" s="537"/>
      <c r="AC59" s="1217" t="s">
        <v>2056</v>
      </c>
      <c r="AD59" s="1217"/>
      <c r="AE59" s="1217"/>
      <c r="AF59" s="1217"/>
      <c r="AG59" s="1217"/>
      <c r="AH59" s="425">
        <f>IF(AND(F15&lt;&gt;4,F15&lt;&gt;5),0,IF(AV8="○",1,3))</f>
        <v>3</v>
      </c>
      <c r="AI59" s="537"/>
      <c r="AJ59" s="537"/>
      <c r="AK59" s="1217" t="s">
        <v>2056</v>
      </c>
      <c r="AL59" s="1217"/>
      <c r="AM59" s="1217"/>
      <c r="AN59" s="1217"/>
      <c r="AO59" s="1217"/>
      <c r="AP59" s="425">
        <f>IF(AV8="○",1,3)</f>
        <v>3</v>
      </c>
      <c r="AQ59" s="145"/>
      <c r="AR59" s="145"/>
      <c r="AS59" s="1018" t="str">
        <f>IF(OR(AND(Z59=1,AH59=3),AND(Z59=1,AP59=3),AND(Z59=2,AH58=3,AH59=3),AND(Z59=2,AP58=3,AP59=3)),"○","")</f>
        <v/>
      </c>
      <c r="AT59" s="1018"/>
      <c r="AU59" s="1018"/>
      <c r="AV59" s="1018"/>
      <c r="AW59" s="1018" t="str">
        <f>IF(OR(AND(Z59=1,AH58=2),AND(Z59=1,AP58=2),AND(Z59=2,AH58=2,AH59=2),AND(Z59=2,AP58=2,AP59=2)),"○","")</f>
        <v/>
      </c>
      <c r="AX59" s="1018"/>
      <c r="AY59" s="1018"/>
      <c r="AZ59" s="1018"/>
      <c r="BP59" s="151"/>
      <c r="BR59" s="151"/>
      <c r="BS59" s="151"/>
      <c r="BT59" s="151"/>
      <c r="BU59" s="151"/>
      <c r="BV59" s="151"/>
      <c r="BW59" s="151"/>
      <c r="BX59" s="151"/>
      <c r="BY59" s="151"/>
      <c r="BZ59" s="151"/>
      <c r="CA59" s="151"/>
      <c r="CB59" s="151"/>
      <c r="CC59" s="151"/>
      <c r="CD59" s="151"/>
      <c r="CE59" s="151"/>
      <c r="CF59" s="151"/>
      <c r="CH59" s="154"/>
    </row>
    <row r="60" spans="2:86" ht="16" customHeight="1">
      <c r="U60" s="1217" t="s">
        <v>2057</v>
      </c>
      <c r="V60" s="1217"/>
      <c r="W60" s="1217"/>
      <c r="X60" s="1217"/>
      <c r="Y60" s="1217"/>
      <c r="Z60" s="539" t="str">
        <f>IF(AND(B9&lt;&gt;"処遇加算なし",F15=4),IF(V32="✓",1,IF(V33="✓",2,"")),"")</f>
        <v/>
      </c>
      <c r="AA60" s="536"/>
      <c r="AB60" s="537"/>
      <c r="AC60" s="1217" t="s">
        <v>2057</v>
      </c>
      <c r="AD60" s="1217"/>
      <c r="AE60" s="1217"/>
      <c r="AF60" s="1217"/>
      <c r="AG60" s="1217"/>
      <c r="AH60" s="425">
        <f>IF(AND(F15&lt;&gt;4,F15&lt;&gt;5),0,IF(AW8="○",1,3))</f>
        <v>3</v>
      </c>
      <c r="AI60" s="537"/>
      <c r="AJ60" s="537"/>
      <c r="AK60" s="1217" t="s">
        <v>2057</v>
      </c>
      <c r="AL60" s="1217"/>
      <c r="AM60" s="1217"/>
      <c r="AN60" s="1217"/>
      <c r="AO60" s="1217"/>
      <c r="AP60" s="425">
        <f>IF(AW8="○",1,3)</f>
        <v>3</v>
      </c>
      <c r="AQ60" s="145"/>
      <c r="AR60" s="145"/>
      <c r="AS60" s="1178" t="str">
        <f>IF(OR(AND(Z60=1,AH60=3),AND(Z60=1,AP60=3)),"○","")</f>
        <v/>
      </c>
      <c r="AT60" s="1178"/>
      <c r="AU60" s="1178"/>
      <c r="AV60" s="1178"/>
      <c r="AW60" s="1178" t="str">
        <f>IF(OR(AND(Z60=1,AH60=2),AND(Z60=1,AP60=2)),"○","")</f>
        <v/>
      </c>
      <c r="AX60" s="1178"/>
      <c r="AY60" s="1178"/>
      <c r="AZ60" s="1178"/>
      <c r="BP60" s="151"/>
      <c r="BR60" s="151"/>
      <c r="BS60" s="151"/>
      <c r="BT60" s="151"/>
      <c r="BU60" s="151"/>
      <c r="BV60" s="151"/>
      <c r="BW60" s="151"/>
      <c r="BX60" s="151"/>
      <c r="BY60" s="151"/>
      <c r="BZ60" s="151"/>
      <c r="CA60" s="151"/>
      <c r="CB60" s="151"/>
      <c r="CC60" s="151"/>
      <c r="CD60" s="151"/>
      <c r="CE60" s="151"/>
      <c r="CF60" s="151"/>
      <c r="CH60" s="154"/>
    </row>
    <row r="61" spans="2:86" ht="16" customHeight="1">
      <c r="U61" s="1217" t="s">
        <v>2058</v>
      </c>
      <c r="V61" s="1217"/>
      <c r="W61" s="1217"/>
      <c r="X61" s="1217"/>
      <c r="Y61" s="1217"/>
      <c r="Z61" s="539" t="str">
        <f>IF(AND(B9&lt;&gt;"処遇加算なし",F15=4),IF(V36="✓",1,IF(V37="✓",2,"")),"")</f>
        <v/>
      </c>
      <c r="AA61" s="536"/>
      <c r="AB61" s="537"/>
      <c r="AC61" s="1217" t="s">
        <v>2058</v>
      </c>
      <c r="AD61" s="1217"/>
      <c r="AE61" s="1217"/>
      <c r="AF61" s="1217"/>
      <c r="AG61" s="1217"/>
      <c r="AH61" s="425">
        <f>IF(AND(F15&lt;&gt;4,F15&lt;&gt;5),0,IF(AX8="○",1,2))</f>
        <v>2</v>
      </c>
      <c r="AI61" s="537"/>
      <c r="AJ61" s="537"/>
      <c r="AK61" s="1217" t="s">
        <v>2058</v>
      </c>
      <c r="AL61" s="1217"/>
      <c r="AM61" s="1217"/>
      <c r="AN61" s="1217"/>
      <c r="AO61" s="1217"/>
      <c r="AP61" s="425">
        <f>IF(AX8="○",1,2)</f>
        <v>2</v>
      </c>
      <c r="AQ61" s="145"/>
      <c r="AR61" s="145"/>
      <c r="AS61" s="1018" t="str">
        <f>IF(OR(AND(Z61=1,AH61=2),AND(Z61=1,AP61=2)),"○","")</f>
        <v/>
      </c>
      <c r="AT61" s="1018"/>
      <c r="AU61" s="1018"/>
      <c r="AV61" s="1018"/>
      <c r="AW61" s="1179" t="str">
        <f>IF(OR((AD61-AL61)&lt;0,(AD61-AT61)&lt;0),"!","")</f>
        <v/>
      </c>
      <c r="AX61" s="1179"/>
      <c r="AY61" s="1179"/>
      <c r="AZ61" s="1179"/>
      <c r="BP61" s="151"/>
      <c r="BR61" s="151"/>
      <c r="BS61" s="151"/>
      <c r="BT61" s="151"/>
      <c r="BU61" s="151"/>
      <c r="BV61" s="151"/>
      <c r="BW61" s="151"/>
      <c r="BX61" s="151"/>
      <c r="BY61" s="151"/>
      <c r="BZ61" s="151"/>
      <c r="CA61" s="151"/>
      <c r="CB61" s="151"/>
      <c r="CC61" s="151"/>
      <c r="CD61" s="151"/>
      <c r="CE61" s="151"/>
      <c r="CF61" s="151"/>
      <c r="CH61" s="154"/>
    </row>
    <row r="62" spans="2:86" ht="16" customHeight="1">
      <c r="U62" s="1217" t="s">
        <v>2059</v>
      </c>
      <c r="V62" s="1217"/>
      <c r="W62" s="1217"/>
      <c r="X62" s="1217"/>
      <c r="Y62" s="1217"/>
      <c r="Z62" s="539" t="str">
        <f>IF(AND(B9&lt;&gt;"処遇加算なし",F15=4),IF(V40="✓",1,IF(V41="✓",2,"")),"")</f>
        <v/>
      </c>
      <c r="AA62" s="536"/>
      <c r="AB62" s="537"/>
      <c r="AC62" s="1217" t="s">
        <v>2059</v>
      </c>
      <c r="AD62" s="1217"/>
      <c r="AE62" s="1217"/>
      <c r="AF62" s="1217"/>
      <c r="AG62" s="1217"/>
      <c r="AH62" s="425">
        <f>IF(AND(F15&lt;&gt;4,F15&lt;&gt;5),0,IF(AY8="○",1,2))</f>
        <v>2</v>
      </c>
      <c r="AI62" s="537"/>
      <c r="AJ62" s="537"/>
      <c r="AK62" s="1217" t="s">
        <v>2059</v>
      </c>
      <c r="AL62" s="1217"/>
      <c r="AM62" s="1217"/>
      <c r="AN62" s="1217"/>
      <c r="AO62" s="1217"/>
      <c r="AP62" s="425">
        <f>IF(AY8="○",1,2)</f>
        <v>2</v>
      </c>
      <c r="AQ62" s="145"/>
      <c r="AR62" s="145"/>
      <c r="AS62" s="1018" t="str">
        <f>IF(OR(AND(Z62=1,AH62=2),AND(Z62=1,AP62=2)),"○","")</f>
        <v/>
      </c>
      <c r="AT62" s="1018"/>
      <c r="AU62" s="1018"/>
      <c r="AV62" s="1018"/>
      <c r="AW62" s="1179" t="str">
        <f>IF(OR((AD62-AL62)&lt;0,(AD62-AT62)&lt;0),"!","")</f>
        <v/>
      </c>
      <c r="AX62" s="1179"/>
      <c r="AY62" s="1179"/>
      <c r="AZ62" s="1179"/>
      <c r="BP62" s="151"/>
      <c r="BR62" s="151"/>
      <c r="BS62" s="151"/>
      <c r="BT62" s="151"/>
      <c r="BU62" s="151"/>
      <c r="BV62" s="151"/>
      <c r="BW62" s="151"/>
      <c r="BX62" s="151"/>
      <c r="BY62" s="151"/>
      <c r="BZ62" s="151"/>
      <c r="CA62" s="151"/>
      <c r="CB62" s="151"/>
      <c r="CC62" s="151"/>
      <c r="CD62" s="151"/>
      <c r="CE62" s="151"/>
      <c r="CF62" s="151"/>
      <c r="CH62" s="154"/>
    </row>
    <row r="63" spans="2:86" ht="16"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18" t="str">
        <f>IF(OR(AND(Z63=1,AH63=2),AND(Z63=1,AP63=2)),"○","")</f>
        <v/>
      </c>
      <c r="AT63" s="1018"/>
      <c r="AU63" s="1018"/>
      <c r="AV63" s="1018"/>
      <c r="AW63" s="1179" t="str">
        <f>IF(OR((AD63-AL63)&lt;0,(AD63-AT63)&lt;0),"!","")</f>
        <v/>
      </c>
      <c r="AX63" s="1179"/>
      <c r="AY63" s="1179"/>
      <c r="AZ63" s="1179"/>
      <c r="BP63" s="151"/>
      <c r="BR63" s="151"/>
      <c r="BS63" s="151"/>
      <c r="BT63" s="151"/>
      <c r="BU63" s="151"/>
      <c r="BV63" s="151"/>
      <c r="BW63" s="151"/>
      <c r="BX63" s="151"/>
      <c r="BY63" s="151"/>
      <c r="BZ63" s="151"/>
      <c r="CA63" s="151"/>
      <c r="CB63" s="151"/>
      <c r="CC63" s="151"/>
      <c r="CD63" s="151"/>
      <c r="CE63" s="151"/>
      <c r="CF63" s="151"/>
      <c r="CH63" s="154"/>
    </row>
    <row r="64" spans="2:86" ht="16" customHeight="1">
      <c r="BP64" s="97"/>
      <c r="BQ64" s="97"/>
      <c r="BR64" s="97"/>
      <c r="BS64" s="97"/>
      <c r="BT64" s="97"/>
      <c r="BU64" s="97"/>
      <c r="BV64" s="97"/>
      <c r="BW64" s="97"/>
      <c r="BX64" s="97"/>
      <c r="BY64" s="97"/>
      <c r="BZ64" s="97"/>
      <c r="CA64" s="97"/>
      <c r="CB64" s="97"/>
      <c r="CC64" s="97"/>
      <c r="CD64" s="97"/>
      <c r="CE64" s="97"/>
      <c r="CF64" s="97"/>
    </row>
    <row r="65" spans="20:71" ht="16" customHeight="1">
      <c r="BS65" s="97"/>
    </row>
    <row r="66" spans="20:71" ht="16" customHeight="1"/>
    <row r="67" spans="20:71" ht="16" customHeight="1">
      <c r="T67" s="71">
        <f>SUM(事業所個票８!BU51)</f>
        <v>0</v>
      </c>
    </row>
    <row r="68" spans="20:71" ht="16" customHeight="1"/>
    <row r="69" spans="20:71" ht="16" customHeight="1"/>
    <row r="70" spans="20:71" ht="16" customHeight="1"/>
    <row r="71" spans="20:71" ht="16" customHeight="1"/>
    <row r="72" spans="20:71" ht="16" customHeight="1"/>
    <row r="73" spans="20:71" ht="16"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139700</xdr:colOff>
                    <xdr:row>20</xdr:row>
                    <xdr:rowOff>19050</xdr:rowOff>
                  </from>
                  <to>
                    <xdr:col>29</xdr:col>
                    <xdr:colOff>120650</xdr:colOff>
                    <xdr:row>21</xdr:row>
                    <xdr:rowOff>12700</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139700</xdr:colOff>
                    <xdr:row>21</xdr:row>
                    <xdr:rowOff>12700</xdr:rowOff>
                  </from>
                  <to>
                    <xdr:col>29</xdr:col>
                    <xdr:colOff>120650</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6350</xdr:rowOff>
                  </from>
                  <to>
                    <xdr:col>29</xdr:col>
                    <xdr:colOff>114300</xdr:colOff>
                    <xdr:row>23</xdr:row>
                    <xdr:rowOff>222250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12700</xdr:rowOff>
                  </from>
                  <to>
                    <xdr:col>29</xdr:col>
                    <xdr:colOff>114300</xdr:colOff>
                    <xdr:row>28</xdr:row>
                    <xdr:rowOff>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12700</xdr:rowOff>
                  </from>
                  <to>
                    <xdr:col>37</xdr:col>
                    <xdr:colOff>114300</xdr:colOff>
                    <xdr:row>44</xdr:row>
                    <xdr:rowOff>177800</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127000</xdr:rowOff>
                  </from>
                  <to>
                    <xdr:col>30</xdr:col>
                    <xdr:colOff>57150</xdr:colOff>
                    <xdr:row>34</xdr:row>
                    <xdr:rowOff>50800</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6350</xdr:rowOff>
                  </from>
                  <to>
                    <xdr:col>29</xdr:col>
                    <xdr:colOff>114300</xdr:colOff>
                    <xdr:row>32</xdr:row>
                    <xdr:rowOff>25400</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254000</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44450</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88900</xdr:colOff>
                    <xdr:row>42</xdr:row>
                    <xdr:rowOff>88900</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50800</xdr:colOff>
                    <xdr:row>34</xdr:row>
                    <xdr:rowOff>12700</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184150</xdr:rowOff>
                  </from>
                  <to>
                    <xdr:col>38</xdr:col>
                    <xdr:colOff>127000</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146050</xdr:rowOff>
                  </from>
                  <to>
                    <xdr:col>38</xdr:col>
                    <xdr:colOff>57150</xdr:colOff>
                    <xdr:row>46</xdr:row>
                    <xdr:rowOff>127000</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139700</xdr:colOff>
                    <xdr:row>39</xdr:row>
                    <xdr:rowOff>0</xdr:rowOff>
                  </from>
                  <to>
                    <xdr:col>37</xdr:col>
                    <xdr:colOff>31750</xdr:colOff>
                    <xdr:row>39</xdr:row>
                    <xdr:rowOff>215900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139700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6350</xdr:rowOff>
                  </from>
                  <to>
                    <xdr:col>37</xdr:col>
                    <xdr:colOff>114300</xdr:colOff>
                    <xdr:row>27</xdr:row>
                    <xdr:rowOff>215900</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25400</xdr:rowOff>
                  </from>
                  <to>
                    <xdr:col>37</xdr:col>
                    <xdr:colOff>114300</xdr:colOff>
                    <xdr:row>28</xdr:row>
                    <xdr:rowOff>215900</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254000</xdr:rowOff>
                  </from>
                  <to>
                    <xdr:col>37</xdr:col>
                    <xdr:colOff>101600</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35</xdr:row>
                    <xdr:rowOff>0</xdr:rowOff>
                  </from>
                  <to>
                    <xdr:col>29</xdr:col>
                    <xdr:colOff>31750</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146050</xdr:colOff>
                    <xdr:row>40</xdr:row>
                    <xdr:rowOff>254000</xdr:rowOff>
                  </from>
                  <to>
                    <xdr:col>28</xdr:col>
                    <xdr:colOff>158750</xdr:colOff>
                    <xdr:row>42</xdr:row>
                    <xdr:rowOff>31750</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146050</xdr:colOff>
                    <xdr:row>36</xdr:row>
                    <xdr:rowOff>241300</xdr:rowOff>
                  </from>
                  <to>
                    <xdr:col>37</xdr:col>
                    <xdr:colOff>127000</xdr:colOff>
                    <xdr:row>38</xdr:row>
                    <xdr:rowOff>6350</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6350</xdr:rowOff>
                  </from>
                  <to>
                    <xdr:col>37</xdr:col>
                    <xdr:colOff>114300</xdr:colOff>
                    <xdr:row>32</xdr:row>
                    <xdr:rowOff>12700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241300</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6350</xdr:rowOff>
                  </from>
                  <to>
                    <xdr:col>37</xdr:col>
                    <xdr:colOff>101600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2024-04-10T07:52:47Z</dcterms:created>
  <dcterms:modified xsi:type="dcterms:W3CDTF">2024-04-10T07:52:57Z</dcterms:modified>
</cp:coreProperties>
</file>