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4年度\001_総務班\09 厚生統計\99　熊本市の保健福祉統計年報\01　原稿作成\★★★とりまとめ\"/>
    </mc:Choice>
  </mc:AlternateContent>
  <xr:revisionPtr revIDLastSave="0" documentId="13_ncr:1_{9B185E51-75E5-418D-89E7-FD7D76328598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8-1" sheetId="4" r:id="rId1"/>
  </sheets>
  <definedNames>
    <definedName name="_xlnm.Print_Area" localSheetId="0">'8-1'!$A$1:$R$53</definedName>
    <definedName name="表６・３" localSheetId="0">'8-1'!$A$4</definedName>
    <definedName name="表６・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4" l="1"/>
  <c r="R21" i="4"/>
  <c r="R17" i="4"/>
  <c r="Q22" i="4"/>
  <c r="Q21" i="4"/>
  <c r="Q19" i="4"/>
  <c r="Q18" i="4"/>
  <c r="Q17" i="4"/>
  <c r="P22" i="4"/>
  <c r="P21" i="4"/>
  <c r="P19" i="4"/>
  <c r="P18" i="4"/>
  <c r="P17" i="4"/>
  <c r="O23" i="4"/>
  <c r="O22" i="4"/>
  <c r="O21" i="4"/>
  <c r="O20" i="4"/>
  <c r="O19" i="4"/>
  <c r="O18" i="4"/>
  <c r="O17" i="4"/>
  <c r="N24" i="4"/>
  <c r="E24" i="4"/>
  <c r="N23" i="4"/>
  <c r="E23" i="4"/>
  <c r="N22" i="4"/>
  <c r="N21" i="4"/>
  <c r="N20" i="4"/>
  <c r="E20" i="4"/>
  <c r="N19" i="4"/>
  <c r="N18" i="4"/>
  <c r="N17" i="4"/>
  <c r="M22" i="4"/>
  <c r="M21" i="4"/>
  <c r="M20" i="4"/>
  <c r="M19" i="4"/>
  <c r="M18" i="4"/>
  <c r="M17" i="4"/>
  <c r="L22" i="4"/>
  <c r="L21" i="4"/>
  <c r="L20" i="4"/>
  <c r="L19" i="4"/>
  <c r="L18" i="4"/>
  <c r="L17" i="4"/>
  <c r="K17" i="4"/>
  <c r="K25" i="4" s="1"/>
  <c r="K7" i="4" s="1"/>
  <c r="K21" i="4"/>
  <c r="J21" i="4"/>
  <c r="J17" i="4"/>
  <c r="Q15" i="4"/>
  <c r="R14" i="4"/>
  <c r="R13" i="4"/>
  <c r="R12" i="4"/>
  <c r="R11" i="4"/>
  <c r="R10" i="4"/>
  <c r="R9" i="4"/>
  <c r="R8" i="4"/>
  <c r="Q14" i="4"/>
  <c r="Q13" i="4"/>
  <c r="Q12" i="4"/>
  <c r="Q11" i="4"/>
  <c r="Q10" i="4"/>
  <c r="Q9" i="4"/>
  <c r="Q8" i="4"/>
  <c r="P15" i="4"/>
  <c r="P14" i="4"/>
  <c r="P13" i="4"/>
  <c r="P12" i="4"/>
  <c r="P11" i="4"/>
  <c r="P10" i="4"/>
  <c r="P9" i="4"/>
  <c r="P8" i="4"/>
  <c r="O15" i="4"/>
  <c r="O14" i="4"/>
  <c r="E14" i="4"/>
  <c r="O13" i="4"/>
  <c r="O12" i="4"/>
  <c r="O11" i="4"/>
  <c r="O10" i="4"/>
  <c r="O9" i="4"/>
  <c r="O8" i="4"/>
  <c r="N13" i="4"/>
  <c r="N12" i="4"/>
  <c r="N11" i="4"/>
  <c r="N10" i="4"/>
  <c r="N9" i="4"/>
  <c r="N8" i="4"/>
  <c r="N16" i="4" s="1"/>
  <c r="N7" i="4" s="1"/>
  <c r="M13" i="4"/>
  <c r="M12" i="4"/>
  <c r="M11" i="4"/>
  <c r="M10" i="4"/>
  <c r="M9" i="4"/>
  <c r="M8" i="4"/>
  <c r="M16" i="4" s="1"/>
  <c r="M7" i="4" s="1"/>
  <c r="L13" i="4"/>
  <c r="L12" i="4"/>
  <c r="L11" i="4"/>
  <c r="L10" i="4"/>
  <c r="L9" i="4"/>
  <c r="L8" i="4"/>
  <c r="K12" i="4"/>
  <c r="K8" i="4"/>
  <c r="J12" i="4"/>
  <c r="J8" i="4"/>
  <c r="E8" i="4" s="1"/>
  <c r="E16" i="4" s="1"/>
  <c r="N37" i="4"/>
  <c r="J38" i="4"/>
  <c r="J37" i="4"/>
  <c r="R38" i="4"/>
  <c r="R39" i="4" s="1"/>
  <c r="R37" i="4"/>
  <c r="R35" i="4"/>
  <c r="R34" i="4"/>
  <c r="Q38" i="4"/>
  <c r="Q37" i="4"/>
  <c r="Q35" i="4"/>
  <c r="Q34" i="4"/>
  <c r="Q36" i="4" s="1"/>
  <c r="Q33" i="4" s="1"/>
  <c r="P38" i="4"/>
  <c r="P37" i="4"/>
  <c r="P35" i="4"/>
  <c r="P34" i="4"/>
  <c r="O38" i="4"/>
  <c r="O37" i="4"/>
  <c r="O35" i="4"/>
  <c r="O34" i="4"/>
  <c r="E34" i="4" s="1"/>
  <c r="N38" i="4"/>
  <c r="N35" i="4"/>
  <c r="N34" i="4"/>
  <c r="M38" i="4"/>
  <c r="M37" i="4"/>
  <c r="M35" i="4"/>
  <c r="M34" i="4"/>
  <c r="L38" i="4"/>
  <c r="L37" i="4"/>
  <c r="L35" i="4"/>
  <c r="L34" i="4"/>
  <c r="K38" i="4"/>
  <c r="K37" i="4"/>
  <c r="K35" i="4"/>
  <c r="K34" i="4"/>
  <c r="J35" i="4"/>
  <c r="J36" i="4" s="1"/>
  <c r="J33" i="4" s="1"/>
  <c r="J34" i="4"/>
  <c r="J39" i="4"/>
  <c r="R31" i="4"/>
  <c r="R30" i="4"/>
  <c r="R29" i="4"/>
  <c r="R28" i="4"/>
  <c r="R27" i="4"/>
  <c r="Q31" i="4"/>
  <c r="Q30" i="4"/>
  <c r="Q28" i="4"/>
  <c r="Q27" i="4"/>
  <c r="P31" i="4"/>
  <c r="P30" i="4"/>
  <c r="P28" i="4"/>
  <c r="P27" i="4"/>
  <c r="O31" i="4"/>
  <c r="O30" i="4"/>
  <c r="O28" i="4"/>
  <c r="O29" i="4" s="1"/>
  <c r="O26" i="4" s="1"/>
  <c r="O27" i="4"/>
  <c r="N31" i="4"/>
  <c r="N30" i="4"/>
  <c r="N28" i="4"/>
  <c r="N27" i="4"/>
  <c r="M31" i="4"/>
  <c r="M30" i="4"/>
  <c r="M28" i="4"/>
  <c r="M29" i="4" s="1"/>
  <c r="M26" i="4" s="1"/>
  <c r="M27" i="4"/>
  <c r="L31" i="4"/>
  <c r="L30" i="4"/>
  <c r="E30" i="4" s="1"/>
  <c r="L28" i="4"/>
  <c r="L27" i="4"/>
  <c r="J32" i="4"/>
  <c r="J29" i="4"/>
  <c r="J26" i="4"/>
  <c r="R53" i="4"/>
  <c r="Q53" i="4"/>
  <c r="Q47" i="4"/>
  <c r="P53" i="4"/>
  <c r="O53" i="4"/>
  <c r="N53" i="4"/>
  <c r="N47" i="4" s="1"/>
  <c r="M53" i="4"/>
  <c r="L53" i="4"/>
  <c r="K53" i="4"/>
  <c r="J53" i="4"/>
  <c r="I53" i="4"/>
  <c r="H53" i="4"/>
  <c r="G53" i="4"/>
  <c r="F53" i="4"/>
  <c r="E52" i="4"/>
  <c r="E51" i="4"/>
  <c r="R50" i="4"/>
  <c r="Q50" i="4"/>
  <c r="P50" i="4"/>
  <c r="P47" i="4" s="1"/>
  <c r="O50" i="4"/>
  <c r="O47" i="4" s="1"/>
  <c r="N50" i="4"/>
  <c r="M50" i="4"/>
  <c r="M47" i="4"/>
  <c r="L50" i="4"/>
  <c r="K50" i="4"/>
  <c r="J50" i="4"/>
  <c r="J47" i="4" s="1"/>
  <c r="I50" i="4"/>
  <c r="I47" i="4" s="1"/>
  <c r="H50" i="4"/>
  <c r="H47" i="4" s="1"/>
  <c r="G50" i="4"/>
  <c r="G47" i="4" s="1"/>
  <c r="F50" i="4"/>
  <c r="F47" i="4" s="1"/>
  <c r="E49" i="4"/>
  <c r="E48" i="4"/>
  <c r="E50" i="4" s="1"/>
  <c r="E47" i="4" s="1"/>
  <c r="R47" i="4"/>
  <c r="L47" i="4"/>
  <c r="K47" i="4"/>
  <c r="R46" i="4"/>
  <c r="Q46" i="4"/>
  <c r="P46" i="4"/>
  <c r="O46" i="4"/>
  <c r="N46" i="4"/>
  <c r="N40" i="4"/>
  <c r="M46" i="4"/>
  <c r="M40" i="4" s="1"/>
  <c r="L46" i="4"/>
  <c r="K46" i="4"/>
  <c r="J46" i="4"/>
  <c r="E45" i="4"/>
  <c r="E44" i="4"/>
  <c r="R43" i="4"/>
  <c r="Q43" i="4"/>
  <c r="Q40" i="4" s="1"/>
  <c r="P43" i="4"/>
  <c r="O43" i="4"/>
  <c r="N43" i="4"/>
  <c r="M43" i="4"/>
  <c r="L43" i="4"/>
  <c r="L40" i="4"/>
  <c r="K43" i="4"/>
  <c r="K40" i="4"/>
  <c r="J43" i="4"/>
  <c r="E42" i="4"/>
  <c r="E41" i="4"/>
  <c r="Q39" i="4"/>
  <c r="M39" i="4"/>
  <c r="M33" i="4" s="1"/>
  <c r="L39" i="4"/>
  <c r="L33" i="4" s="1"/>
  <c r="P39" i="4"/>
  <c r="O39" i="4"/>
  <c r="N39" i="4"/>
  <c r="N33" i="4" s="1"/>
  <c r="P36" i="4"/>
  <c r="P33" i="4"/>
  <c r="O36" i="4"/>
  <c r="O33" i="4" s="1"/>
  <c r="R36" i="4"/>
  <c r="N36" i="4"/>
  <c r="M36" i="4"/>
  <c r="L36" i="4"/>
  <c r="P32" i="4"/>
  <c r="K32" i="4"/>
  <c r="E32" i="4" s="1"/>
  <c r="M32" i="4"/>
  <c r="E31" i="4"/>
  <c r="R32" i="4"/>
  <c r="R26" i="4"/>
  <c r="N32" i="4"/>
  <c r="L32" i="4"/>
  <c r="Q29" i="4"/>
  <c r="Q26" i="4" s="1"/>
  <c r="K29" i="4"/>
  <c r="P29" i="4"/>
  <c r="P26" i="4"/>
  <c r="N29" i="4"/>
  <c r="N26" i="4" s="1"/>
  <c r="L29" i="4"/>
  <c r="E27" i="4"/>
  <c r="N25" i="4"/>
  <c r="J25" i="4"/>
  <c r="O16" i="4"/>
  <c r="R16" i="4"/>
  <c r="R7" i="4" s="1"/>
  <c r="P16" i="4"/>
  <c r="L16" i="4"/>
  <c r="K16" i="4"/>
  <c r="J16" i="4"/>
  <c r="K36" i="4"/>
  <c r="K33" i="4" s="1"/>
  <c r="Q32" i="4"/>
  <c r="R25" i="4"/>
  <c r="M25" i="4"/>
  <c r="K39" i="4"/>
  <c r="E37" i="4"/>
  <c r="E39" i="4" s="1"/>
  <c r="E38" i="4"/>
  <c r="O32" i="4"/>
  <c r="K26" i="4"/>
  <c r="R40" i="4"/>
  <c r="P40" i="4"/>
  <c r="O40" i="4"/>
  <c r="E46" i="4"/>
  <c r="J40" i="4"/>
  <c r="E43" i="4"/>
  <c r="E40" i="4" s="1"/>
  <c r="E53" i="4"/>
  <c r="Q25" i="4"/>
  <c r="P25" i="4"/>
  <c r="P7" i="4"/>
  <c r="O25" i="4"/>
  <c r="O7" i="4"/>
  <c r="E19" i="4"/>
  <c r="E22" i="4"/>
  <c r="E18" i="4"/>
  <c r="L25" i="4"/>
  <c r="L7" i="4"/>
  <c r="E21" i="4"/>
  <c r="E17" i="4"/>
  <c r="E25" i="4" s="1"/>
  <c r="E7" i="4" s="1"/>
  <c r="J7" i="4"/>
  <c r="E15" i="4"/>
  <c r="Q16" i="4"/>
  <c r="Q7" i="4" s="1"/>
  <c r="E10" i="4"/>
  <c r="E12" i="4"/>
  <c r="E11" i="4"/>
  <c r="E13" i="4"/>
  <c r="E9" i="4"/>
  <c r="E29" i="4" l="1"/>
  <c r="E26" i="4" s="1"/>
  <c r="R33" i="4"/>
  <c r="E28" i="4"/>
  <c r="L26" i="4"/>
  <c r="E35" i="4"/>
  <c r="E36" i="4" s="1"/>
  <c r="E33" i="4" s="1"/>
</calcChain>
</file>

<file path=xl/sharedStrings.xml><?xml version="1.0" encoding="utf-8"?>
<sst xmlns="http://schemas.openxmlformats.org/spreadsheetml/2006/main" count="271" uniqueCount="40">
  <si>
    <t>総  数</t>
    <rPh sb="0" eb="4">
      <t>ソウスウ</t>
    </rPh>
    <phoneticPr fontId="1"/>
  </si>
  <si>
    <t>受診者数</t>
    <rPh sb="0" eb="3">
      <t>ジュシンシャ</t>
    </rPh>
    <rPh sb="3" eb="4">
      <t>スウ</t>
    </rPh>
    <phoneticPr fontId="1"/>
  </si>
  <si>
    <t>実人員（人）</t>
    <rPh sb="0" eb="1">
      <t>ジツ</t>
    </rPh>
    <rPh sb="1" eb="3">
      <t>ジンイン</t>
    </rPh>
    <rPh sb="4" eb="5">
      <t>ニン</t>
    </rPh>
    <phoneticPr fontId="1"/>
  </si>
  <si>
    <t>胃がん</t>
    <rPh sb="0" eb="1">
      <t>イ</t>
    </rPh>
    <phoneticPr fontId="1"/>
  </si>
  <si>
    <t>肺がん</t>
    <rPh sb="0" eb="1">
      <t>ハイ</t>
    </rPh>
    <phoneticPr fontId="1"/>
  </si>
  <si>
    <t>大腸がん</t>
    <rPh sb="0" eb="2">
      <t>ダイチョウ</t>
    </rPh>
    <phoneticPr fontId="1"/>
  </si>
  <si>
    <t>乳がん</t>
    <rPh sb="0" eb="1">
      <t>チチ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</si>
  <si>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</si>
  <si>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</si>
  <si>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初回</t>
    <rPh sb="0" eb="2">
      <t>ショカイ</t>
    </rPh>
    <phoneticPr fontId="1"/>
  </si>
  <si>
    <t>非初回</t>
    <rPh sb="0" eb="1">
      <t>ヒ</t>
    </rPh>
    <rPh sb="1" eb="3">
      <t>ショカイ</t>
    </rPh>
    <phoneticPr fontId="1"/>
  </si>
  <si>
    <t>計</t>
    <rPh sb="0" eb="1">
      <t>ケイ</t>
    </rPh>
    <phoneticPr fontId="1"/>
  </si>
  <si>
    <t>頸部</t>
    <rPh sb="0" eb="2">
      <t>ケイブ</t>
    </rPh>
    <phoneticPr fontId="1"/>
  </si>
  <si>
    <t>集団検診</t>
    <rPh sb="0" eb="2">
      <t>シュウダン</t>
    </rPh>
    <rPh sb="2" eb="4">
      <t>ケンシン</t>
    </rPh>
    <phoneticPr fontId="1"/>
  </si>
  <si>
    <t>個別検診</t>
    <rPh sb="0" eb="2">
      <t>コベツ</t>
    </rPh>
    <rPh sb="2" eb="4">
      <t>ケンシン</t>
    </rPh>
    <phoneticPr fontId="1"/>
  </si>
  <si>
    <t>喀痰容器配布数</t>
    <rPh sb="0" eb="2">
      <t>カクタン</t>
    </rPh>
    <rPh sb="2" eb="4">
      <t>ヨウキ</t>
    </rPh>
    <rPh sb="4" eb="6">
      <t>ハイフ</t>
    </rPh>
    <rPh sb="6" eb="7">
      <t>スウ</t>
    </rPh>
    <phoneticPr fontId="1"/>
  </si>
  <si>
    <t>喀痰細胞診対象者数</t>
    <rPh sb="0" eb="2">
      <t>カクタン</t>
    </rPh>
    <rPh sb="2" eb="4">
      <t>サイボウ</t>
    </rPh>
    <rPh sb="4" eb="5">
      <t>シン</t>
    </rPh>
    <rPh sb="5" eb="8">
      <t>タイショウシャ</t>
    </rPh>
    <rPh sb="8" eb="9">
      <t>スウ</t>
    </rPh>
    <phoneticPr fontId="1"/>
  </si>
  <si>
    <t>喀痰容器回収数</t>
    <rPh sb="0" eb="2">
      <t>カクタン</t>
    </rPh>
    <rPh sb="2" eb="4">
      <t>ヨウキ</t>
    </rPh>
    <rPh sb="4" eb="6">
      <t>カイシュウ</t>
    </rPh>
    <rPh sb="6" eb="7">
      <t>スウ</t>
    </rPh>
    <phoneticPr fontId="1"/>
  </si>
  <si>
    <t>胸部Ｘ線検査受診者数</t>
    <rPh sb="0" eb="2">
      <t>キョウブ</t>
    </rPh>
    <rPh sb="3" eb="4">
      <t>セン</t>
    </rPh>
    <rPh sb="4" eb="6">
      <t>ケンサ</t>
    </rPh>
    <rPh sb="6" eb="9">
      <t>ジュシンシャ</t>
    </rPh>
    <rPh sb="9" eb="10">
      <t>スウ</t>
    </rPh>
    <phoneticPr fontId="1"/>
  </si>
  <si>
    <t>20～
24歳</t>
    <phoneticPr fontId="1"/>
  </si>
  <si>
    <t>25～
29歳</t>
    <phoneticPr fontId="1"/>
  </si>
  <si>
    <t>30～
34歳</t>
    <phoneticPr fontId="1"/>
  </si>
  <si>
    <t>35～
39歳</t>
    <phoneticPr fontId="1"/>
  </si>
  <si>
    <t>40～
44歳</t>
    <phoneticPr fontId="1"/>
  </si>
  <si>
    <t>45～
49歳</t>
    <phoneticPr fontId="1"/>
  </si>
  <si>
    <t>50～
54歳</t>
    <phoneticPr fontId="1"/>
  </si>
  <si>
    <t>55～
59歳</t>
    <phoneticPr fontId="1"/>
  </si>
  <si>
    <t>60～
64歳</t>
    <phoneticPr fontId="1"/>
  </si>
  <si>
    <t>65～
69歳</t>
    <phoneticPr fontId="1"/>
  </si>
  <si>
    <t>70～
74歳</t>
    <phoneticPr fontId="1"/>
  </si>
  <si>
    <t>75～
79歳</t>
    <phoneticPr fontId="1"/>
  </si>
  <si>
    <t>80歳
以上</t>
    <phoneticPr fontId="1"/>
  </si>
  <si>
    <t>子宮頸がん</t>
    <rPh sb="0" eb="1">
      <t>シキュウ</t>
    </rPh>
    <rPh sb="1" eb="2">
      <t>ケイ</t>
    </rPh>
    <phoneticPr fontId="1"/>
  </si>
  <si>
    <t>第８章　健診</t>
    <rPh sb="0" eb="1">
      <t>ダイ</t>
    </rPh>
    <rPh sb="2" eb="3">
      <t>ショウ</t>
    </rPh>
    <rPh sb="4" eb="6">
      <t>ケンシン</t>
    </rPh>
    <phoneticPr fontId="1"/>
  </si>
  <si>
    <t xml:space="preserve"> １　がん検診</t>
    <rPh sb="4" eb="6">
      <t>ケンシン</t>
    </rPh>
    <phoneticPr fontId="1"/>
  </si>
  <si>
    <t>表８－１　がん検診結果区分別受診者数</t>
    <rPh sb="0" eb="1">
      <t>ヒョウ</t>
    </rPh>
    <rPh sb="7" eb="9">
      <t>ケンシン</t>
    </rPh>
    <rPh sb="14" eb="17">
      <t>ジュシンシャ</t>
    </rPh>
    <rPh sb="17" eb="18">
      <t>スウ</t>
    </rPh>
    <phoneticPr fontId="1"/>
  </si>
  <si>
    <t>令和5年度(2023年度）</t>
    <rPh sb="0" eb="1">
      <t>ガン</t>
    </rPh>
    <rPh sb="3" eb="5">
      <t>ネンド</t>
    </rPh>
    <rPh sb="10" eb="12">
      <t>ネンド</t>
    </rPh>
    <phoneticPr fontId="1"/>
  </si>
  <si>
    <t>・</t>
  </si>
  <si>
    <t>・</t>
    <phoneticPr fontId="1"/>
  </si>
  <si>
    <t>（健康づくり推進課）</t>
    <rPh sb="6" eb="8">
      <t>スイシン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</si>
</sst>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??,??0;;\ \ \ \ \ \ \-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/>
  </cellStyleXfs>
  <cellXfs count="138">
    <xf numFmtId="0" fontId="0" fillId="0" borderId="0" xfId="0"/>
    <xf numFmtId="0" fontId="9" fillId="2" borderId="0" xfId="0" applyFont="1" applyFill="1"/>
    <xf numFmtId="0" fontId="3" fillId="2" borderId="0" xfId="0" applyFont="1" applyFill="1"/>
    <xf numFmtId="0" fontId="0" fillId="2" borderId="0" xfId="0" quotePrefix="1" applyFont="1" applyFill="1" applyAlignment="1">
      <alignment horizontal="left" vertical="top"/>
    </xf>
    <xf numFmtId="0" fontId="2" fillId="2" borderId="0" xfId="0" quotePrefix="1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2" fillId="2" borderId="0" xfId="0" quotePrefix="1" applyFont="1" applyFill="1" applyAlignment="1">
      <alignment horizontal="left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 wrapText="1"/>
    </xf>
    <xf numFmtId="0" fontId="4" fillId="2" borderId="0" xfId="0" applyFont="1" applyFill="1"/>
    <xf numFmtId="0" fontId="7" fillId="2" borderId="8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62" xfId="0" applyFont="1" applyFill="1" applyBorder="1" applyAlignment="1">
      <alignment vertical="center" wrapText="1"/>
    </xf>
    <xf numFmtId="0" fontId="7" fillId="2" borderId="63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0" xfId="0" quotePrefix="1" applyFont="1" applyFill="1" applyAlignment="1">
      <alignment horizontal="right"/>
    </xf>
    <xf numFmtId="176" fontId="6" fillId="2" borderId="37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7" xfId="0" applyFont="1" applyFill="1" applyBorder="1" applyAlignment="1">
      <alignment horizontal="right" vertical="center"/>
    </xf>
    <xf numFmtId="0" fontId="6" fillId="2" borderId="61" xfId="0" applyFont="1" applyFill="1" applyBorder="1" applyAlignment="1">
      <alignment horizontal="right" vertical="center"/>
    </xf>
    <xf numFmtId="38" fontId="6" fillId="2" borderId="17" xfId="0" applyNumberFormat="1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38" fontId="6" fillId="2" borderId="40" xfId="1" applyFont="1" applyFill="1" applyBorder="1" applyAlignment="1">
      <alignment horizontal="right" vertical="center"/>
    </xf>
    <xf numFmtId="38" fontId="6" fillId="2" borderId="34" xfId="1" applyFont="1" applyFill="1" applyBorder="1" applyAlignment="1">
      <alignment horizontal="right" vertical="center"/>
    </xf>
    <xf numFmtId="38" fontId="6" fillId="2" borderId="41" xfId="1" applyFont="1" applyFill="1" applyBorder="1" applyAlignment="1">
      <alignment horizontal="right" vertical="center"/>
    </xf>
    <xf numFmtId="38" fontId="6" fillId="2" borderId="25" xfId="1" applyFont="1" applyFill="1" applyBorder="1" applyAlignment="1">
      <alignment horizontal="right" vertical="center"/>
    </xf>
    <xf numFmtId="38" fontId="6" fillId="2" borderId="35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176" fontId="6" fillId="2" borderId="46" xfId="0" applyNumberFormat="1" applyFont="1" applyFill="1" applyBorder="1" applyAlignment="1">
      <alignment horizontal="right" vertical="center"/>
    </xf>
    <xf numFmtId="38" fontId="6" fillId="2" borderId="24" xfId="1" applyFont="1" applyFill="1" applyBorder="1" applyAlignment="1">
      <alignment horizontal="right" vertical="center"/>
    </xf>
    <xf numFmtId="38" fontId="6" fillId="2" borderId="26" xfId="1" applyFont="1" applyFill="1" applyBorder="1" applyAlignment="1">
      <alignment horizontal="right" vertical="center"/>
    </xf>
    <xf numFmtId="38" fontId="6" fillId="2" borderId="27" xfId="1" applyFont="1" applyFill="1" applyBorder="1" applyAlignment="1">
      <alignment horizontal="right" vertical="center"/>
    </xf>
    <xf numFmtId="38" fontId="6" fillId="2" borderId="12" xfId="1" applyFont="1" applyFill="1" applyBorder="1" applyAlignment="1">
      <alignment horizontal="right" vertical="center"/>
    </xf>
    <xf numFmtId="176" fontId="6" fillId="2" borderId="6" xfId="0" applyNumberFormat="1" applyFont="1" applyFill="1" applyBorder="1" applyAlignment="1">
      <alignment horizontal="right" vertical="center"/>
    </xf>
    <xf numFmtId="38" fontId="6" fillId="2" borderId="49" xfId="1" applyFont="1" applyFill="1" applyBorder="1" applyAlignment="1">
      <alignment horizontal="right" vertical="center"/>
    </xf>
    <xf numFmtId="38" fontId="6" fillId="2" borderId="42" xfId="1" applyFont="1" applyFill="1" applyBorder="1" applyAlignment="1">
      <alignment horizontal="right" vertical="center"/>
    </xf>
    <xf numFmtId="38" fontId="6" fillId="2" borderId="51" xfId="1" applyFont="1" applyFill="1" applyBorder="1" applyAlignment="1">
      <alignment horizontal="right" vertical="center"/>
    </xf>
    <xf numFmtId="38" fontId="6" fillId="2" borderId="43" xfId="1" applyFont="1" applyFill="1" applyBorder="1" applyAlignment="1">
      <alignment horizontal="right" vertical="center"/>
    </xf>
    <xf numFmtId="38" fontId="6" fillId="2" borderId="10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176" fontId="6" fillId="2" borderId="23" xfId="0" applyNumberFormat="1" applyFont="1" applyFill="1" applyBorder="1" applyAlignment="1">
      <alignment horizontal="right" vertical="center"/>
    </xf>
    <xf numFmtId="176" fontId="6" fillId="2" borderId="44" xfId="0" applyNumberFormat="1" applyFont="1" applyFill="1" applyBorder="1" applyAlignment="1">
      <alignment horizontal="right" vertical="center"/>
    </xf>
    <xf numFmtId="38" fontId="6" fillId="2" borderId="28" xfId="1" applyFont="1" applyFill="1" applyBorder="1" applyAlignment="1">
      <alignment horizontal="right" vertical="center"/>
    </xf>
    <xf numFmtId="38" fontId="6" fillId="2" borderId="29" xfId="1" applyFont="1" applyFill="1" applyBorder="1" applyAlignment="1">
      <alignment horizontal="right" vertical="center"/>
    </xf>
    <xf numFmtId="38" fontId="6" fillId="2" borderId="30" xfId="1" applyFont="1" applyFill="1" applyBorder="1" applyAlignment="1">
      <alignment horizontal="right" vertical="center"/>
    </xf>
    <xf numFmtId="38" fontId="6" fillId="2" borderId="13" xfId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right" vertical="center"/>
    </xf>
    <xf numFmtId="38" fontId="6" fillId="2" borderId="18" xfId="1" applyFont="1" applyFill="1" applyBorder="1" applyAlignment="1">
      <alignment horizontal="right" vertical="center"/>
    </xf>
    <xf numFmtId="38" fontId="6" fillId="2" borderId="19" xfId="1" applyFont="1" applyFill="1" applyBorder="1" applyAlignment="1">
      <alignment horizontal="right" vertical="center"/>
    </xf>
    <xf numFmtId="38" fontId="6" fillId="2" borderId="20" xfId="1" applyFont="1" applyFill="1" applyBorder="1" applyAlignment="1">
      <alignment horizontal="right" vertical="center"/>
    </xf>
    <xf numFmtId="38" fontId="6" fillId="2" borderId="22" xfId="1" applyFont="1" applyFill="1" applyBorder="1" applyAlignment="1">
      <alignment horizontal="right" vertical="center"/>
    </xf>
    <xf numFmtId="38" fontId="6" fillId="2" borderId="15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38" fontId="6" fillId="2" borderId="17" xfId="1" applyFont="1" applyFill="1" applyBorder="1" applyAlignment="1">
      <alignment horizontal="right" vertical="center"/>
    </xf>
    <xf numFmtId="38" fontId="6" fillId="2" borderId="61" xfId="1" applyFont="1" applyFill="1" applyBorder="1" applyAlignment="1">
      <alignment horizontal="right" vertical="center"/>
    </xf>
    <xf numFmtId="38" fontId="6" fillId="2" borderId="7" xfId="1" applyFont="1" applyFill="1" applyBorder="1" applyAlignment="1">
      <alignment horizontal="right" vertical="center"/>
    </xf>
    <xf numFmtId="38" fontId="6" fillId="2" borderId="21" xfId="1" applyFont="1" applyFill="1" applyBorder="1" applyAlignment="1">
      <alignment horizontal="right" vertical="center"/>
    </xf>
    <xf numFmtId="38" fontId="6" fillId="2" borderId="23" xfId="1" applyFont="1" applyFill="1" applyBorder="1" applyAlignment="1">
      <alignment horizontal="right" vertical="center"/>
    </xf>
    <xf numFmtId="38" fontId="6" fillId="2" borderId="31" xfId="1" applyFont="1" applyFill="1" applyBorder="1" applyAlignment="1">
      <alignment horizontal="right" vertical="center"/>
    </xf>
    <xf numFmtId="38" fontId="6" fillId="2" borderId="32" xfId="1" applyFont="1" applyFill="1" applyBorder="1" applyAlignment="1">
      <alignment horizontal="right" vertical="center"/>
    </xf>
    <xf numFmtId="38" fontId="6" fillId="2" borderId="23" xfId="1" applyFont="1" applyFill="1" applyBorder="1" applyAlignment="1">
      <alignment vertical="center"/>
    </xf>
    <xf numFmtId="38" fontId="6" fillId="2" borderId="33" xfId="1" applyFont="1" applyFill="1" applyBorder="1" applyAlignment="1">
      <alignment horizontal="right" vertical="center"/>
    </xf>
    <xf numFmtId="38" fontId="6" fillId="2" borderId="15" xfId="1" applyFont="1" applyFill="1" applyBorder="1" applyAlignment="1">
      <alignment vertical="center"/>
    </xf>
    <xf numFmtId="38" fontId="6" fillId="2" borderId="32" xfId="1" applyFont="1" applyFill="1" applyBorder="1" applyAlignment="1">
      <alignment vertical="center"/>
    </xf>
    <xf numFmtId="38" fontId="6" fillId="2" borderId="36" xfId="1" applyFont="1" applyFill="1" applyBorder="1" applyAlignment="1">
      <alignment horizontal="right" vertical="center"/>
    </xf>
    <xf numFmtId="38" fontId="6" fillId="2" borderId="17" xfId="1" applyFont="1" applyFill="1" applyBorder="1" applyAlignment="1">
      <alignment vertical="center"/>
    </xf>
    <xf numFmtId="38" fontId="6" fillId="2" borderId="31" xfId="1" applyFont="1" applyFill="1" applyBorder="1" applyAlignment="1">
      <alignment vertical="center"/>
    </xf>
    <xf numFmtId="176" fontId="6" fillId="2" borderId="32" xfId="0" applyNumberFormat="1" applyFont="1" applyFill="1" applyBorder="1" applyAlignment="1">
      <alignment horizontal="right" vertical="center"/>
    </xf>
    <xf numFmtId="38" fontId="6" fillId="2" borderId="45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4" fillId="2" borderId="7" xfId="0" quotePrefix="1" applyFont="1" applyFill="1" applyBorder="1" applyAlignment="1">
      <alignment horizontal="center" vertical="distributed" textRotation="255" justifyLastLine="1"/>
    </xf>
    <xf numFmtId="0" fontId="0" fillId="2" borderId="46" xfId="0" applyFont="1" applyFill="1" applyBorder="1" applyAlignment="1">
      <alignment horizontal="center" vertical="distributed" textRotation="255" justifyLastLine="1"/>
    </xf>
    <xf numFmtId="0" fontId="0" fillId="2" borderId="6" xfId="0" applyFont="1" applyFill="1" applyBorder="1" applyAlignment="1">
      <alignment horizontal="center" vertical="distributed" textRotation="255" justifyLastLine="1"/>
    </xf>
    <xf numFmtId="0" fontId="6" fillId="2" borderId="16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6" fillId="2" borderId="48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0" fillId="2" borderId="24" xfId="0" applyFont="1" applyFill="1" applyBorder="1" applyAlignment="1">
      <alignment vertical="center" textRotation="255"/>
    </xf>
    <xf numFmtId="0" fontId="0" fillId="2" borderId="49" xfId="0" applyFont="1" applyFill="1" applyBorder="1" applyAlignment="1">
      <alignment vertical="center" textRotation="255"/>
    </xf>
    <xf numFmtId="0" fontId="6" fillId="2" borderId="34" xfId="0" applyFont="1" applyFill="1" applyBorder="1" applyAlignment="1">
      <alignment vertical="center" shrinkToFit="1"/>
    </xf>
    <xf numFmtId="0" fontId="6" fillId="2" borderId="25" xfId="0" applyFont="1" applyFill="1" applyBorder="1" applyAlignment="1">
      <alignment vertical="center" shrinkToFit="1"/>
    </xf>
    <xf numFmtId="0" fontId="0" fillId="2" borderId="25" xfId="0" applyFont="1" applyFill="1" applyBorder="1" applyAlignment="1">
      <alignment vertical="center" shrinkToFit="1"/>
    </xf>
    <xf numFmtId="0" fontId="6" fillId="2" borderId="42" xfId="0" applyFont="1" applyFill="1" applyBorder="1" applyAlignment="1">
      <alignment vertical="center" shrinkToFit="1"/>
    </xf>
    <xf numFmtId="0" fontId="6" fillId="2" borderId="27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0" fillId="2" borderId="50" xfId="0" applyFont="1" applyFill="1" applyBorder="1" applyAlignment="1">
      <alignment vertical="center"/>
    </xf>
    <xf numFmtId="0" fontId="4" fillId="2" borderId="46" xfId="0" applyFont="1" applyFill="1" applyBorder="1" applyAlignment="1">
      <alignment horizontal="center" vertical="distributed" textRotation="255" justifyLastLine="1"/>
    </xf>
    <xf numFmtId="0" fontId="4" fillId="2" borderId="6" xfId="0" applyFont="1" applyFill="1" applyBorder="1" applyAlignment="1">
      <alignment horizontal="center" vertical="distributed" textRotation="255" justifyLastLine="1"/>
    </xf>
    <xf numFmtId="0" fontId="6" fillId="2" borderId="32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0" fillId="2" borderId="41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vertical="center"/>
    </xf>
    <xf numFmtId="0" fontId="6" fillId="2" borderId="52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 textRotation="255"/>
    </xf>
    <xf numFmtId="0" fontId="6" fillId="2" borderId="49" xfId="0" applyFont="1" applyFill="1" applyBorder="1" applyAlignment="1">
      <alignment vertical="center" textRotation="255"/>
    </xf>
    <xf numFmtId="0" fontId="6" fillId="2" borderId="25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35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distributed" textRotation="255" justifyLastLine="1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4" fillId="2" borderId="46" xfId="0" quotePrefix="1" applyFont="1" applyFill="1" applyBorder="1" applyAlignment="1">
      <alignment horizontal="center" vertical="distributed" textRotation="255" justifyLastLine="1"/>
    </xf>
    <xf numFmtId="0" fontId="6" fillId="2" borderId="39" xfId="0" applyFont="1" applyFill="1" applyBorder="1" applyAlignment="1">
      <alignment horizontal="center" vertical="center" textRotation="255"/>
    </xf>
    <xf numFmtId="0" fontId="0" fillId="2" borderId="32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0" fillId="2" borderId="53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3" fillId="2" borderId="57" xfId="0" applyFont="1" applyFill="1" applyBorder="1" applyAlignment="1">
      <alignment horizontal="center"/>
    </xf>
    <xf numFmtId="0" fontId="6" fillId="2" borderId="34" xfId="0" applyFont="1" applyFill="1" applyBorder="1" applyAlignment="1">
      <alignment vertical="center"/>
    </xf>
    <xf numFmtId="0" fontId="0" fillId="2" borderId="33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R53"/>
  <sheetViews>
    <sheetView tabSelected="1" zoomScale="120" zoomScaleNormal="120" zoomScaleSheetLayoutView="120" workbookViewId="0">
      <selection activeCell="A5" sqref="A5:D6"/>
    </sheetView>
  </sheetViews>
  <sheetFormatPr defaultColWidth="9" defaultRowHeight="12" x14ac:dyDescent="0.15"/>
  <cols>
    <col min="1" max="1" width="3.21875" style="2" customWidth="1"/>
    <col min="2" max="2" width="3" style="2" customWidth="1"/>
    <col min="3" max="3" width="6.6640625" style="2" customWidth="1"/>
    <col min="4" max="4" width="16.109375" style="2" customWidth="1"/>
    <col min="5" max="18" width="6.109375" style="2" customWidth="1"/>
    <col min="19" max="16384" width="9" style="2"/>
  </cols>
  <sheetData>
    <row r="1" spans="1:18" ht="14.4" x14ac:dyDescent="0.2">
      <c r="A1" s="1" t="s">
        <v>33</v>
      </c>
    </row>
    <row r="2" spans="1:18" ht="14.4" x14ac:dyDescent="0.2">
      <c r="A2" s="1"/>
      <c r="R2" s="79" t="s">
        <v>39</v>
      </c>
    </row>
    <row r="3" spans="1:18" ht="14.25" customHeight="1" x14ac:dyDescent="0.15">
      <c r="A3" s="3" t="s">
        <v>34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8" ht="24" customHeight="1" x14ac:dyDescent="0.15">
      <c r="A4" s="6" t="s">
        <v>35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R4" s="24" t="s">
        <v>36</v>
      </c>
    </row>
    <row r="5" spans="1:18" ht="20.399999999999999" customHeight="1" x14ac:dyDescent="0.15">
      <c r="A5" s="128"/>
      <c r="B5" s="129"/>
      <c r="C5" s="129"/>
      <c r="D5" s="130"/>
      <c r="E5" s="117" t="s">
        <v>2</v>
      </c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9"/>
    </row>
    <row r="6" spans="1:18" s="12" customFormat="1" ht="27" customHeight="1" thickBot="1" x14ac:dyDescent="0.2">
      <c r="A6" s="131"/>
      <c r="B6" s="132"/>
      <c r="C6" s="132"/>
      <c r="D6" s="133"/>
      <c r="E6" s="7" t="s">
        <v>0</v>
      </c>
      <c r="F6" s="8" t="s">
        <v>19</v>
      </c>
      <c r="G6" s="9" t="s">
        <v>20</v>
      </c>
      <c r="H6" s="10" t="s">
        <v>21</v>
      </c>
      <c r="I6" s="9" t="s">
        <v>22</v>
      </c>
      <c r="J6" s="9" t="s">
        <v>23</v>
      </c>
      <c r="K6" s="9" t="s">
        <v>24</v>
      </c>
      <c r="L6" s="9" t="s">
        <v>25</v>
      </c>
      <c r="M6" s="9" t="s">
        <v>26</v>
      </c>
      <c r="N6" s="9" t="s">
        <v>27</v>
      </c>
      <c r="O6" s="9" t="s">
        <v>28</v>
      </c>
      <c r="P6" s="9" t="s">
        <v>29</v>
      </c>
      <c r="Q6" s="9" t="s">
        <v>30</v>
      </c>
      <c r="R6" s="11" t="s">
        <v>31</v>
      </c>
    </row>
    <row r="7" spans="1:18" s="12" customFormat="1" ht="19.2" customHeight="1" thickTop="1" x14ac:dyDescent="0.15">
      <c r="A7" s="80" t="s">
        <v>4</v>
      </c>
      <c r="B7" s="107" t="s">
        <v>1</v>
      </c>
      <c r="C7" s="84"/>
      <c r="D7" s="108"/>
      <c r="E7" s="25">
        <f>SUM(E25,E16)</f>
        <v>26732</v>
      </c>
      <c r="F7" s="26" t="s">
        <v>38</v>
      </c>
      <c r="G7" s="27" t="s">
        <v>38</v>
      </c>
      <c r="H7" s="28" t="s">
        <v>38</v>
      </c>
      <c r="I7" s="27" t="s">
        <v>38</v>
      </c>
      <c r="J7" s="29">
        <f>SUM(J25,J16)</f>
        <v>766</v>
      </c>
      <c r="K7" s="27">
        <f t="shared" ref="K7:R7" si="0">SUM(K25,K16)</f>
        <v>861</v>
      </c>
      <c r="L7" s="27">
        <f t="shared" si="0"/>
        <v>967</v>
      </c>
      <c r="M7" s="27">
        <f t="shared" si="0"/>
        <v>979</v>
      </c>
      <c r="N7" s="27">
        <f t="shared" si="0"/>
        <v>1843</v>
      </c>
      <c r="O7" s="27">
        <f t="shared" si="0"/>
        <v>3811</v>
      </c>
      <c r="P7" s="27">
        <f t="shared" si="0"/>
        <v>6717</v>
      </c>
      <c r="Q7" s="27">
        <f t="shared" si="0"/>
        <v>5511</v>
      </c>
      <c r="R7" s="30">
        <f t="shared" si="0"/>
        <v>5277</v>
      </c>
    </row>
    <row r="8" spans="1:18" s="12" customFormat="1" ht="19.2" customHeight="1" x14ac:dyDescent="0.15">
      <c r="A8" s="120"/>
      <c r="B8" s="121" t="s">
        <v>7</v>
      </c>
      <c r="C8" s="124" t="s">
        <v>9</v>
      </c>
      <c r="D8" s="13" t="s">
        <v>18</v>
      </c>
      <c r="E8" s="31">
        <f>SUM(F8:R8)</f>
        <v>4592</v>
      </c>
      <c r="F8" s="32" t="s">
        <v>38</v>
      </c>
      <c r="G8" s="33" t="s">
        <v>38</v>
      </c>
      <c r="H8" s="34" t="s">
        <v>38</v>
      </c>
      <c r="I8" s="33" t="s">
        <v>37</v>
      </c>
      <c r="J8" s="35">
        <f>19+147</f>
        <v>166</v>
      </c>
      <c r="K8" s="33">
        <f>24+119</f>
        <v>143</v>
      </c>
      <c r="L8" s="33">
        <f>32+145</f>
        <v>177</v>
      </c>
      <c r="M8" s="36">
        <f>19+139</f>
        <v>158</v>
      </c>
      <c r="N8" s="36">
        <f>67+265</f>
        <v>332</v>
      </c>
      <c r="O8" s="36">
        <f>145+639</f>
        <v>784</v>
      </c>
      <c r="P8" s="36">
        <f>210+938</f>
        <v>1148</v>
      </c>
      <c r="Q8" s="36">
        <f>179+661</f>
        <v>840</v>
      </c>
      <c r="R8" s="37">
        <f>155+689</f>
        <v>844</v>
      </c>
    </row>
    <row r="9" spans="1:18" s="12" customFormat="1" ht="19.2" customHeight="1" x14ac:dyDescent="0.15">
      <c r="A9" s="98"/>
      <c r="B9" s="122"/>
      <c r="C9" s="125"/>
      <c r="D9" s="14" t="s">
        <v>16</v>
      </c>
      <c r="E9" s="38">
        <f>SUM(F9:R9)</f>
        <v>1405</v>
      </c>
      <c r="F9" s="39" t="s">
        <v>38</v>
      </c>
      <c r="G9" s="35" t="s">
        <v>38</v>
      </c>
      <c r="H9" s="40" t="s">
        <v>38</v>
      </c>
      <c r="I9" s="35" t="s">
        <v>38</v>
      </c>
      <c r="J9" s="35" t="s">
        <v>38</v>
      </c>
      <c r="K9" s="35" t="s">
        <v>38</v>
      </c>
      <c r="L9" s="35">
        <f>8+38</f>
        <v>46</v>
      </c>
      <c r="M9" s="41">
        <f>5+40</f>
        <v>45</v>
      </c>
      <c r="N9" s="41">
        <f>37+79</f>
        <v>116</v>
      </c>
      <c r="O9" s="41">
        <f>68+209</f>
        <v>277</v>
      </c>
      <c r="P9" s="41">
        <f>95+337</f>
        <v>432</v>
      </c>
      <c r="Q9" s="41">
        <f>65+202</f>
        <v>267</v>
      </c>
      <c r="R9" s="42">
        <f>41+181</f>
        <v>222</v>
      </c>
    </row>
    <row r="10" spans="1:18" s="12" customFormat="1" ht="19.2" customHeight="1" x14ac:dyDescent="0.15">
      <c r="A10" s="98"/>
      <c r="B10" s="122"/>
      <c r="C10" s="125"/>
      <c r="D10" s="14" t="s">
        <v>15</v>
      </c>
      <c r="E10" s="38">
        <f t="shared" ref="E10:E15" si="1">SUM(F10:R10)</f>
        <v>224</v>
      </c>
      <c r="F10" s="39" t="s">
        <v>37</v>
      </c>
      <c r="G10" s="35" t="s">
        <v>37</v>
      </c>
      <c r="H10" s="40" t="s">
        <v>37</v>
      </c>
      <c r="I10" s="35" t="s">
        <v>37</v>
      </c>
      <c r="J10" s="35" t="s">
        <v>37</v>
      </c>
      <c r="K10" s="35" t="s">
        <v>37</v>
      </c>
      <c r="L10" s="35">
        <f>1+15</f>
        <v>16</v>
      </c>
      <c r="M10" s="41">
        <f>1+7</f>
        <v>8</v>
      </c>
      <c r="N10" s="41">
        <f>5+14</f>
        <v>19</v>
      </c>
      <c r="O10" s="41">
        <f>6+48</f>
        <v>54</v>
      </c>
      <c r="P10" s="41">
        <f>17+56</f>
        <v>73</v>
      </c>
      <c r="Q10" s="41">
        <f>16+24</f>
        <v>40</v>
      </c>
      <c r="R10" s="42">
        <f>2+12</f>
        <v>14</v>
      </c>
    </row>
    <row r="11" spans="1:18" s="12" customFormat="1" ht="19.2" customHeight="1" x14ac:dyDescent="0.15">
      <c r="A11" s="98"/>
      <c r="B11" s="122"/>
      <c r="C11" s="125"/>
      <c r="D11" s="15" t="s">
        <v>17</v>
      </c>
      <c r="E11" s="43">
        <f t="shared" si="1"/>
        <v>181</v>
      </c>
      <c r="F11" s="44" t="s">
        <v>37</v>
      </c>
      <c r="G11" s="45" t="s">
        <v>37</v>
      </c>
      <c r="H11" s="46" t="s">
        <v>37</v>
      </c>
      <c r="I11" s="45" t="s">
        <v>37</v>
      </c>
      <c r="J11" s="45" t="s">
        <v>37</v>
      </c>
      <c r="K11" s="45" t="s">
        <v>37</v>
      </c>
      <c r="L11" s="45">
        <f>1+9</f>
        <v>10</v>
      </c>
      <c r="M11" s="47">
        <f>1+5</f>
        <v>6</v>
      </c>
      <c r="N11" s="47">
        <f>5+10</f>
        <v>15</v>
      </c>
      <c r="O11" s="47">
        <f>6+41</f>
        <v>47</v>
      </c>
      <c r="P11" s="47">
        <f>15+44</f>
        <v>59</v>
      </c>
      <c r="Q11" s="47">
        <f>14+19</f>
        <v>33</v>
      </c>
      <c r="R11" s="48">
        <f>2+9</f>
        <v>11</v>
      </c>
    </row>
    <row r="12" spans="1:18" s="12" customFormat="1" ht="19.2" customHeight="1" x14ac:dyDescent="0.15">
      <c r="A12" s="98"/>
      <c r="B12" s="122"/>
      <c r="C12" s="134" t="s">
        <v>10</v>
      </c>
      <c r="D12" s="13" t="s">
        <v>18</v>
      </c>
      <c r="E12" s="31">
        <f t="shared" si="1"/>
        <v>5540</v>
      </c>
      <c r="F12" s="39" t="s">
        <v>37</v>
      </c>
      <c r="G12" s="35" t="s">
        <v>37</v>
      </c>
      <c r="H12" s="40" t="s">
        <v>37</v>
      </c>
      <c r="I12" s="35" t="s">
        <v>37</v>
      </c>
      <c r="J12" s="49">
        <f>29+36</f>
        <v>65</v>
      </c>
      <c r="K12" s="35">
        <f>44+70</f>
        <v>114</v>
      </c>
      <c r="L12" s="35">
        <f>73+42</f>
        <v>115</v>
      </c>
      <c r="M12" s="41">
        <f>62+46</f>
        <v>108</v>
      </c>
      <c r="N12" s="41">
        <f>130+72</f>
        <v>202</v>
      </c>
      <c r="O12" s="41">
        <f>397+224</f>
        <v>621</v>
      </c>
      <c r="P12" s="41">
        <f>1096+446</f>
        <v>1542</v>
      </c>
      <c r="Q12" s="41">
        <f>1097+335</f>
        <v>1432</v>
      </c>
      <c r="R12" s="42">
        <f>1132+209</f>
        <v>1341</v>
      </c>
    </row>
    <row r="13" spans="1:18" s="12" customFormat="1" ht="19.2" customHeight="1" x14ac:dyDescent="0.15">
      <c r="A13" s="98"/>
      <c r="B13" s="122"/>
      <c r="C13" s="125"/>
      <c r="D13" s="14" t="s">
        <v>16</v>
      </c>
      <c r="E13" s="38">
        <f t="shared" si="1"/>
        <v>1718</v>
      </c>
      <c r="F13" s="39" t="s">
        <v>37</v>
      </c>
      <c r="G13" s="35" t="s">
        <v>37</v>
      </c>
      <c r="H13" s="40" t="s">
        <v>37</v>
      </c>
      <c r="I13" s="35" t="s">
        <v>37</v>
      </c>
      <c r="J13" s="35" t="s">
        <v>37</v>
      </c>
      <c r="K13" s="35" t="s">
        <v>37</v>
      </c>
      <c r="L13" s="35">
        <f>22+4</f>
        <v>26</v>
      </c>
      <c r="M13" s="35">
        <f>29+3</f>
        <v>32</v>
      </c>
      <c r="N13" s="41">
        <f>69+6</f>
        <v>75</v>
      </c>
      <c r="O13" s="41">
        <f>191+29</f>
        <v>220</v>
      </c>
      <c r="P13" s="41">
        <f>464+60</f>
        <v>524</v>
      </c>
      <c r="Q13" s="41">
        <f>438+47</f>
        <v>485</v>
      </c>
      <c r="R13" s="42">
        <f>324+32</f>
        <v>356</v>
      </c>
    </row>
    <row r="14" spans="1:18" s="12" customFormat="1" ht="19.2" customHeight="1" x14ac:dyDescent="0.15">
      <c r="A14" s="98"/>
      <c r="B14" s="122"/>
      <c r="C14" s="125"/>
      <c r="D14" s="14" t="s">
        <v>15</v>
      </c>
      <c r="E14" s="38">
        <f t="shared" si="1"/>
        <v>70</v>
      </c>
      <c r="F14" s="39" t="s">
        <v>37</v>
      </c>
      <c r="G14" s="35" t="s">
        <v>37</v>
      </c>
      <c r="H14" s="40" t="s">
        <v>37</v>
      </c>
      <c r="I14" s="35" t="s">
        <v>37</v>
      </c>
      <c r="J14" s="35" t="s">
        <v>37</v>
      </c>
      <c r="K14" s="35" t="s">
        <v>37</v>
      </c>
      <c r="L14" s="35">
        <v>1</v>
      </c>
      <c r="M14" s="35">
        <v>1</v>
      </c>
      <c r="N14" s="41">
        <v>2</v>
      </c>
      <c r="O14" s="41">
        <f>8+5</f>
        <v>13</v>
      </c>
      <c r="P14" s="41">
        <f>14+5</f>
        <v>19</v>
      </c>
      <c r="Q14" s="41">
        <f>17+4</f>
        <v>21</v>
      </c>
      <c r="R14" s="42">
        <f>11+2</f>
        <v>13</v>
      </c>
    </row>
    <row r="15" spans="1:18" s="12" customFormat="1" ht="19.2" customHeight="1" x14ac:dyDescent="0.15">
      <c r="A15" s="98"/>
      <c r="B15" s="122"/>
      <c r="C15" s="135"/>
      <c r="D15" s="16" t="s">
        <v>17</v>
      </c>
      <c r="E15" s="50">
        <f t="shared" si="1"/>
        <v>65</v>
      </c>
      <c r="F15" s="39" t="s">
        <v>37</v>
      </c>
      <c r="G15" s="35" t="s">
        <v>37</v>
      </c>
      <c r="H15" s="40" t="s">
        <v>37</v>
      </c>
      <c r="I15" s="35" t="s">
        <v>37</v>
      </c>
      <c r="J15" s="35" t="s">
        <v>37</v>
      </c>
      <c r="K15" s="35" t="s">
        <v>37</v>
      </c>
      <c r="L15" s="35">
        <v>1</v>
      </c>
      <c r="M15" s="35">
        <v>1</v>
      </c>
      <c r="N15" s="41">
        <v>2</v>
      </c>
      <c r="O15" s="41">
        <f>8+4</f>
        <v>12</v>
      </c>
      <c r="P15" s="41">
        <f>13+4</f>
        <v>17</v>
      </c>
      <c r="Q15" s="41">
        <f>17+4</f>
        <v>21</v>
      </c>
      <c r="R15" s="42">
        <v>11</v>
      </c>
    </row>
    <row r="16" spans="1:18" s="12" customFormat="1" ht="19.2" customHeight="1" x14ac:dyDescent="0.15">
      <c r="A16" s="98"/>
      <c r="B16" s="123"/>
      <c r="C16" s="96" t="s">
        <v>11</v>
      </c>
      <c r="D16" s="97"/>
      <c r="E16" s="51">
        <f>SUM(E8,E12)</f>
        <v>10132</v>
      </c>
      <c r="F16" s="52" t="s">
        <v>37</v>
      </c>
      <c r="G16" s="53" t="s">
        <v>37</v>
      </c>
      <c r="H16" s="54" t="s">
        <v>37</v>
      </c>
      <c r="I16" s="53" t="s">
        <v>37</v>
      </c>
      <c r="J16" s="53">
        <f t="shared" ref="J16:R16" si="2">SUM(J8,J12)</f>
        <v>231</v>
      </c>
      <c r="K16" s="53">
        <f t="shared" si="2"/>
        <v>257</v>
      </c>
      <c r="L16" s="53">
        <f t="shared" si="2"/>
        <v>292</v>
      </c>
      <c r="M16" s="53">
        <f>SUM(M8,M12)</f>
        <v>266</v>
      </c>
      <c r="N16" s="53">
        <f t="shared" si="2"/>
        <v>534</v>
      </c>
      <c r="O16" s="53">
        <f t="shared" si="2"/>
        <v>1405</v>
      </c>
      <c r="P16" s="53">
        <f t="shared" si="2"/>
        <v>2690</v>
      </c>
      <c r="Q16" s="53">
        <f t="shared" si="2"/>
        <v>2272</v>
      </c>
      <c r="R16" s="55">
        <f t="shared" si="2"/>
        <v>2185</v>
      </c>
    </row>
    <row r="17" spans="1:18" s="12" customFormat="1" ht="19.2" customHeight="1" x14ac:dyDescent="0.15">
      <c r="A17" s="98"/>
      <c r="B17" s="111" t="s">
        <v>8</v>
      </c>
      <c r="C17" s="124" t="s">
        <v>9</v>
      </c>
      <c r="D17" s="13" t="s">
        <v>18</v>
      </c>
      <c r="E17" s="31">
        <f>SUM(J17:R17)</f>
        <v>8077</v>
      </c>
      <c r="F17" s="39" t="s">
        <v>37</v>
      </c>
      <c r="G17" s="35" t="s">
        <v>37</v>
      </c>
      <c r="H17" s="40" t="s">
        <v>37</v>
      </c>
      <c r="I17" s="35" t="s">
        <v>37</v>
      </c>
      <c r="J17" s="35">
        <f>89+295</f>
        <v>384</v>
      </c>
      <c r="K17" s="35">
        <f>79+305</f>
        <v>384</v>
      </c>
      <c r="L17" s="35">
        <f>72+328</f>
        <v>400</v>
      </c>
      <c r="M17" s="41">
        <f>96+288</f>
        <v>384</v>
      </c>
      <c r="N17" s="41">
        <f>154+589</f>
        <v>743</v>
      </c>
      <c r="O17" s="41">
        <f>245+936</f>
        <v>1181</v>
      </c>
      <c r="P17" s="41">
        <f>330+1411</f>
        <v>1741</v>
      </c>
      <c r="Q17" s="41">
        <f>272+1045</f>
        <v>1317</v>
      </c>
      <c r="R17" s="37">
        <f>239+1304</f>
        <v>1543</v>
      </c>
    </row>
    <row r="18" spans="1:18" s="12" customFormat="1" ht="19.2" customHeight="1" x14ac:dyDescent="0.15">
      <c r="A18" s="98"/>
      <c r="B18" s="111"/>
      <c r="C18" s="136"/>
      <c r="D18" s="14" t="s">
        <v>16</v>
      </c>
      <c r="E18" s="38">
        <f t="shared" ref="E18:E24" si="3">SUM(J18:R18)</f>
        <v>219</v>
      </c>
      <c r="F18" s="39" t="s">
        <v>37</v>
      </c>
      <c r="G18" s="35" t="s">
        <v>37</v>
      </c>
      <c r="H18" s="40" t="s">
        <v>37</v>
      </c>
      <c r="I18" s="35" t="s">
        <v>37</v>
      </c>
      <c r="J18" s="35" t="s">
        <v>37</v>
      </c>
      <c r="K18" s="35" t="s">
        <v>37</v>
      </c>
      <c r="L18" s="35">
        <f>9+13</f>
        <v>22</v>
      </c>
      <c r="M18" s="41">
        <f>7+9</f>
        <v>16</v>
      </c>
      <c r="N18" s="41">
        <f>15+29</f>
        <v>44</v>
      </c>
      <c r="O18" s="41">
        <f>12+23</f>
        <v>35</v>
      </c>
      <c r="P18" s="41">
        <f>12+46</f>
        <v>58</v>
      </c>
      <c r="Q18" s="41">
        <f>2+23</f>
        <v>25</v>
      </c>
      <c r="R18" s="42">
        <v>19</v>
      </c>
    </row>
    <row r="19" spans="1:18" s="12" customFormat="1" ht="19.2" customHeight="1" x14ac:dyDescent="0.15">
      <c r="A19" s="98"/>
      <c r="B19" s="111"/>
      <c r="C19" s="136"/>
      <c r="D19" s="14" t="s">
        <v>15</v>
      </c>
      <c r="E19" s="38">
        <f t="shared" si="3"/>
        <v>31</v>
      </c>
      <c r="F19" s="39" t="s">
        <v>37</v>
      </c>
      <c r="G19" s="35" t="s">
        <v>37</v>
      </c>
      <c r="H19" s="40" t="s">
        <v>37</v>
      </c>
      <c r="I19" s="35" t="s">
        <v>37</v>
      </c>
      <c r="J19" s="35" t="s">
        <v>37</v>
      </c>
      <c r="K19" s="35" t="s">
        <v>37</v>
      </c>
      <c r="L19" s="35">
        <f>1+3</f>
        <v>4</v>
      </c>
      <c r="M19" s="41">
        <f>1+2</f>
        <v>3</v>
      </c>
      <c r="N19" s="41">
        <f>1+6</f>
        <v>7</v>
      </c>
      <c r="O19" s="41">
        <f>1+4</f>
        <v>5</v>
      </c>
      <c r="P19" s="41">
        <f>8</f>
        <v>8</v>
      </c>
      <c r="Q19" s="41">
        <f>4</f>
        <v>4</v>
      </c>
      <c r="R19" s="42">
        <v>0</v>
      </c>
    </row>
    <row r="20" spans="1:18" s="12" customFormat="1" ht="19.2" customHeight="1" x14ac:dyDescent="0.15">
      <c r="A20" s="98"/>
      <c r="B20" s="111"/>
      <c r="C20" s="137"/>
      <c r="D20" s="15" t="s">
        <v>17</v>
      </c>
      <c r="E20" s="43">
        <f t="shared" si="3"/>
        <v>21</v>
      </c>
      <c r="F20" s="39" t="s">
        <v>37</v>
      </c>
      <c r="G20" s="35" t="s">
        <v>37</v>
      </c>
      <c r="H20" s="40" t="s">
        <v>37</v>
      </c>
      <c r="I20" s="35" t="s">
        <v>37</v>
      </c>
      <c r="J20" s="35" t="s">
        <v>37</v>
      </c>
      <c r="K20" s="35" t="s">
        <v>37</v>
      </c>
      <c r="L20" s="35">
        <f>1</f>
        <v>1</v>
      </c>
      <c r="M20" s="41">
        <f>1+2</f>
        <v>3</v>
      </c>
      <c r="N20" s="41">
        <f>1+4</f>
        <v>5</v>
      </c>
      <c r="O20" s="41">
        <f>1+3</f>
        <v>4</v>
      </c>
      <c r="P20" s="41">
        <v>6</v>
      </c>
      <c r="Q20" s="41">
        <v>2</v>
      </c>
      <c r="R20" s="42">
        <v>0</v>
      </c>
    </row>
    <row r="21" spans="1:18" s="12" customFormat="1" ht="19.2" customHeight="1" x14ac:dyDescent="0.15">
      <c r="A21" s="98"/>
      <c r="B21" s="111"/>
      <c r="C21" s="113" t="s">
        <v>10</v>
      </c>
      <c r="D21" s="13" t="s">
        <v>18</v>
      </c>
      <c r="E21" s="31">
        <f t="shared" si="3"/>
        <v>8523</v>
      </c>
      <c r="F21" s="32" t="s">
        <v>37</v>
      </c>
      <c r="G21" s="33" t="s">
        <v>37</v>
      </c>
      <c r="H21" s="34" t="s">
        <v>37</v>
      </c>
      <c r="I21" s="33" t="s">
        <v>37</v>
      </c>
      <c r="J21" s="33">
        <f>42+109</f>
        <v>151</v>
      </c>
      <c r="K21" s="33">
        <f>96+124</f>
        <v>220</v>
      </c>
      <c r="L21" s="33">
        <f>138+137</f>
        <v>275</v>
      </c>
      <c r="M21" s="36">
        <f>176+153</f>
        <v>329</v>
      </c>
      <c r="N21" s="36">
        <f>329+237</f>
        <v>566</v>
      </c>
      <c r="O21" s="36">
        <f>793+432</f>
        <v>1225</v>
      </c>
      <c r="P21" s="36">
        <f>1623+663</f>
        <v>2286</v>
      </c>
      <c r="Q21" s="36">
        <f>1486+436</f>
        <v>1922</v>
      </c>
      <c r="R21" s="37">
        <f>1276+273</f>
        <v>1549</v>
      </c>
    </row>
    <row r="22" spans="1:18" s="12" customFormat="1" ht="19.2" customHeight="1" x14ac:dyDescent="0.15">
      <c r="A22" s="98"/>
      <c r="B22" s="111"/>
      <c r="C22" s="113"/>
      <c r="D22" s="14" t="s">
        <v>16</v>
      </c>
      <c r="E22" s="38">
        <f>SUM(J22:R22)</f>
        <v>142</v>
      </c>
      <c r="F22" s="39" t="s">
        <v>37</v>
      </c>
      <c r="G22" s="35" t="s">
        <v>37</v>
      </c>
      <c r="H22" s="40" t="s">
        <v>37</v>
      </c>
      <c r="I22" s="35" t="s">
        <v>37</v>
      </c>
      <c r="J22" s="35" t="s">
        <v>37</v>
      </c>
      <c r="K22" s="35" t="s">
        <v>37</v>
      </c>
      <c r="L22" s="35">
        <f>8+1</f>
        <v>9</v>
      </c>
      <c r="M22" s="41">
        <f>5+2</f>
        <v>7</v>
      </c>
      <c r="N22" s="41">
        <f>12+4</f>
        <v>16</v>
      </c>
      <c r="O22" s="41">
        <f>17+7</f>
        <v>24</v>
      </c>
      <c r="P22" s="41">
        <f>38+11</f>
        <v>49</v>
      </c>
      <c r="Q22" s="41">
        <f>19+4</f>
        <v>23</v>
      </c>
      <c r="R22" s="42">
        <f>9+5</f>
        <v>14</v>
      </c>
    </row>
    <row r="23" spans="1:18" s="12" customFormat="1" ht="19.2" customHeight="1" x14ac:dyDescent="0.15">
      <c r="A23" s="98"/>
      <c r="B23" s="111"/>
      <c r="C23" s="113"/>
      <c r="D23" s="14" t="s">
        <v>15</v>
      </c>
      <c r="E23" s="38">
        <f t="shared" si="3"/>
        <v>9</v>
      </c>
      <c r="F23" s="39" t="s">
        <v>37</v>
      </c>
      <c r="G23" s="35" t="s">
        <v>37</v>
      </c>
      <c r="H23" s="40" t="s">
        <v>37</v>
      </c>
      <c r="I23" s="35" t="s">
        <v>37</v>
      </c>
      <c r="J23" s="35" t="s">
        <v>37</v>
      </c>
      <c r="K23" s="35" t="s">
        <v>37</v>
      </c>
      <c r="L23" s="35">
        <v>0</v>
      </c>
      <c r="M23" s="41">
        <v>1</v>
      </c>
      <c r="N23" s="41">
        <f>1+1</f>
        <v>2</v>
      </c>
      <c r="O23" s="41">
        <f>2</f>
        <v>2</v>
      </c>
      <c r="P23" s="41">
        <v>3</v>
      </c>
      <c r="Q23" s="41">
        <v>1</v>
      </c>
      <c r="R23" s="42">
        <v>0</v>
      </c>
    </row>
    <row r="24" spans="1:18" s="12" customFormat="1" ht="19.2" customHeight="1" x14ac:dyDescent="0.15">
      <c r="A24" s="98"/>
      <c r="B24" s="111"/>
      <c r="C24" s="114"/>
      <c r="D24" s="16" t="s">
        <v>17</v>
      </c>
      <c r="E24" s="50">
        <f t="shared" si="3"/>
        <v>8</v>
      </c>
      <c r="F24" s="39" t="s">
        <v>37</v>
      </c>
      <c r="G24" s="35" t="s">
        <v>37</v>
      </c>
      <c r="H24" s="40" t="s">
        <v>37</v>
      </c>
      <c r="I24" s="35" t="s">
        <v>37</v>
      </c>
      <c r="J24" s="35" t="s">
        <v>37</v>
      </c>
      <c r="K24" s="35" t="s">
        <v>37</v>
      </c>
      <c r="L24" s="35">
        <v>0</v>
      </c>
      <c r="M24" s="41">
        <v>1</v>
      </c>
      <c r="N24" s="41">
        <f>1+1</f>
        <v>2</v>
      </c>
      <c r="O24" s="41">
        <v>1</v>
      </c>
      <c r="P24" s="41">
        <v>3</v>
      </c>
      <c r="Q24" s="41">
        <v>1</v>
      </c>
      <c r="R24" s="42">
        <v>0</v>
      </c>
    </row>
    <row r="25" spans="1:18" s="12" customFormat="1" ht="19.2" customHeight="1" x14ac:dyDescent="0.15">
      <c r="A25" s="98"/>
      <c r="B25" s="111"/>
      <c r="C25" s="126" t="s">
        <v>11</v>
      </c>
      <c r="D25" s="127"/>
      <c r="E25" s="56">
        <f>SUM(E17,E21)</f>
        <v>16600</v>
      </c>
      <c r="F25" s="57" t="s">
        <v>37</v>
      </c>
      <c r="G25" s="58" t="s">
        <v>37</v>
      </c>
      <c r="H25" s="59" t="s">
        <v>37</v>
      </c>
      <c r="I25" s="58" t="s">
        <v>37</v>
      </c>
      <c r="J25" s="58">
        <f t="shared" ref="J25:R25" si="4">SUM(J17,J21)</f>
        <v>535</v>
      </c>
      <c r="K25" s="58">
        <f t="shared" si="4"/>
        <v>604</v>
      </c>
      <c r="L25" s="58">
        <f t="shared" si="4"/>
        <v>675</v>
      </c>
      <c r="M25" s="58">
        <f t="shared" si="4"/>
        <v>713</v>
      </c>
      <c r="N25" s="58">
        <f t="shared" si="4"/>
        <v>1309</v>
      </c>
      <c r="O25" s="58">
        <f t="shared" si="4"/>
        <v>2406</v>
      </c>
      <c r="P25" s="58">
        <f t="shared" si="4"/>
        <v>4027</v>
      </c>
      <c r="Q25" s="58">
        <f t="shared" si="4"/>
        <v>3239</v>
      </c>
      <c r="R25" s="60">
        <f t="shared" si="4"/>
        <v>3092</v>
      </c>
    </row>
    <row r="26" spans="1:18" s="12" customFormat="1" ht="19.2" customHeight="1" x14ac:dyDescent="0.15">
      <c r="A26" s="116" t="s">
        <v>3</v>
      </c>
      <c r="B26" s="83" t="s">
        <v>1</v>
      </c>
      <c r="C26" s="84"/>
      <c r="D26" s="85"/>
      <c r="E26" s="61">
        <f>E29+E32</f>
        <v>11914</v>
      </c>
      <c r="F26" s="62" t="s">
        <v>37</v>
      </c>
      <c r="G26" s="63" t="s">
        <v>37</v>
      </c>
      <c r="H26" s="64" t="s">
        <v>37</v>
      </c>
      <c r="I26" s="63" t="s">
        <v>37</v>
      </c>
      <c r="J26" s="63">
        <f>J29+J32</f>
        <v>295</v>
      </c>
      <c r="K26" s="63">
        <f t="shared" ref="K26:R26" si="5">K29+K32</f>
        <v>341</v>
      </c>
      <c r="L26" s="63">
        <f t="shared" si="5"/>
        <v>841</v>
      </c>
      <c r="M26" s="63">
        <f t="shared" si="5"/>
        <v>658</v>
      </c>
      <c r="N26" s="63">
        <f t="shared" si="5"/>
        <v>1338</v>
      </c>
      <c r="O26" s="63">
        <f t="shared" si="5"/>
        <v>1930</v>
      </c>
      <c r="P26" s="63">
        <f t="shared" si="5"/>
        <v>3440</v>
      </c>
      <c r="Q26" s="63">
        <f t="shared" si="5"/>
        <v>1796</v>
      </c>
      <c r="R26" s="63">
        <f t="shared" si="5"/>
        <v>1275</v>
      </c>
    </row>
    <row r="27" spans="1:18" s="12" customFormat="1" ht="19.2" customHeight="1" x14ac:dyDescent="0.15">
      <c r="A27" s="98"/>
      <c r="B27" s="86" t="s">
        <v>7</v>
      </c>
      <c r="C27" s="115" t="s">
        <v>9</v>
      </c>
      <c r="D27" s="110"/>
      <c r="E27" s="65">
        <f t="shared" ref="E27:E32" si="6">SUM(F27:R27)</f>
        <v>1886</v>
      </c>
      <c r="F27" s="57" t="s">
        <v>37</v>
      </c>
      <c r="G27" s="58" t="s">
        <v>37</v>
      </c>
      <c r="H27" s="59" t="s">
        <v>37</v>
      </c>
      <c r="I27" s="58" t="s">
        <v>37</v>
      </c>
      <c r="J27" s="58">
        <v>46</v>
      </c>
      <c r="K27" s="58">
        <v>38</v>
      </c>
      <c r="L27" s="58">
        <f>27+87</f>
        <v>114</v>
      </c>
      <c r="M27" s="66">
        <f>18+55</f>
        <v>73</v>
      </c>
      <c r="N27" s="66">
        <f>46+183</f>
        <v>229</v>
      </c>
      <c r="O27" s="66">
        <f>91+339</f>
        <v>430</v>
      </c>
      <c r="P27" s="66">
        <f>82+481</f>
        <v>563</v>
      </c>
      <c r="Q27" s="66">
        <f>66+149</f>
        <v>215</v>
      </c>
      <c r="R27" s="60">
        <f>40+138</f>
        <v>178</v>
      </c>
    </row>
    <row r="28" spans="1:18" s="12" customFormat="1" ht="19.2" customHeight="1" x14ac:dyDescent="0.15">
      <c r="A28" s="98"/>
      <c r="B28" s="88"/>
      <c r="C28" s="94" t="s">
        <v>10</v>
      </c>
      <c r="D28" s="95"/>
      <c r="E28" s="67">
        <f t="shared" si="6"/>
        <v>2928</v>
      </c>
      <c r="F28" s="39" t="s">
        <v>37</v>
      </c>
      <c r="G28" s="35" t="s">
        <v>37</v>
      </c>
      <c r="H28" s="40" t="s">
        <v>37</v>
      </c>
      <c r="I28" s="35" t="s">
        <v>37</v>
      </c>
      <c r="J28" s="35">
        <v>42</v>
      </c>
      <c r="K28" s="41">
        <v>76</v>
      </c>
      <c r="L28" s="41">
        <f>75+24</f>
        <v>99</v>
      </c>
      <c r="M28" s="35">
        <f>63+25</f>
        <v>88</v>
      </c>
      <c r="N28" s="41">
        <f>106+76</f>
        <v>182</v>
      </c>
      <c r="O28" s="41">
        <f>264+127</f>
        <v>391</v>
      </c>
      <c r="P28" s="41">
        <f>538+426</f>
        <v>964</v>
      </c>
      <c r="Q28" s="41">
        <f>440+200</f>
        <v>640</v>
      </c>
      <c r="R28" s="42">
        <f>242+204</f>
        <v>446</v>
      </c>
    </row>
    <row r="29" spans="1:18" s="12" customFormat="1" ht="19.2" customHeight="1" x14ac:dyDescent="0.15">
      <c r="A29" s="98"/>
      <c r="B29" s="89"/>
      <c r="C29" s="96" t="s">
        <v>11</v>
      </c>
      <c r="D29" s="97"/>
      <c r="E29" s="61">
        <f t="shared" si="6"/>
        <v>4814</v>
      </c>
      <c r="F29" s="52" t="s">
        <v>37</v>
      </c>
      <c r="G29" s="53" t="s">
        <v>37</v>
      </c>
      <c r="H29" s="54" t="s">
        <v>37</v>
      </c>
      <c r="I29" s="53" t="s">
        <v>37</v>
      </c>
      <c r="J29" s="53">
        <f>J27+J28</f>
        <v>88</v>
      </c>
      <c r="K29" s="53">
        <f t="shared" ref="K29:Q29" si="7">K27+K28</f>
        <v>114</v>
      </c>
      <c r="L29" s="53">
        <f t="shared" si="7"/>
        <v>213</v>
      </c>
      <c r="M29" s="53">
        <f t="shared" si="7"/>
        <v>161</v>
      </c>
      <c r="N29" s="53">
        <f t="shared" si="7"/>
        <v>411</v>
      </c>
      <c r="O29" s="53">
        <f t="shared" si="7"/>
        <v>821</v>
      </c>
      <c r="P29" s="53">
        <f t="shared" si="7"/>
        <v>1527</v>
      </c>
      <c r="Q29" s="53">
        <f t="shared" si="7"/>
        <v>855</v>
      </c>
      <c r="R29" s="53">
        <f>R27+R28</f>
        <v>624</v>
      </c>
    </row>
    <row r="30" spans="1:18" s="12" customFormat="1" ht="19.2" customHeight="1" x14ac:dyDescent="0.15">
      <c r="A30" s="98"/>
      <c r="B30" s="111" t="s">
        <v>8</v>
      </c>
      <c r="C30" s="94" t="s">
        <v>9</v>
      </c>
      <c r="D30" s="95"/>
      <c r="E30" s="65">
        <f t="shared" si="6"/>
        <v>3116</v>
      </c>
      <c r="F30" s="39" t="s">
        <v>37</v>
      </c>
      <c r="G30" s="35" t="s">
        <v>37</v>
      </c>
      <c r="H30" s="40" t="s">
        <v>37</v>
      </c>
      <c r="I30" s="35" t="s">
        <v>37</v>
      </c>
      <c r="J30" s="35">
        <v>112</v>
      </c>
      <c r="K30" s="35">
        <v>94</v>
      </c>
      <c r="L30" s="35">
        <f>101+281</f>
        <v>382</v>
      </c>
      <c r="M30" s="41">
        <f>75+154</f>
        <v>229</v>
      </c>
      <c r="N30" s="41">
        <f>86+376</f>
        <v>462</v>
      </c>
      <c r="O30" s="41">
        <f>111+389</f>
        <v>500</v>
      </c>
      <c r="P30" s="41">
        <f>117+663</f>
        <v>780</v>
      </c>
      <c r="Q30" s="41">
        <f>76+234</f>
        <v>310</v>
      </c>
      <c r="R30" s="37">
        <f>46+201</f>
        <v>247</v>
      </c>
    </row>
    <row r="31" spans="1:18" s="12" customFormat="1" ht="19.2" customHeight="1" x14ac:dyDescent="0.15">
      <c r="A31" s="98"/>
      <c r="B31" s="111"/>
      <c r="C31" s="94" t="s">
        <v>10</v>
      </c>
      <c r="D31" s="95"/>
      <c r="E31" s="67">
        <f t="shared" si="6"/>
        <v>3984</v>
      </c>
      <c r="F31" s="39" t="s">
        <v>37</v>
      </c>
      <c r="G31" s="35" t="s">
        <v>37</v>
      </c>
      <c r="H31" s="40" t="s">
        <v>37</v>
      </c>
      <c r="I31" s="35" t="s">
        <v>37</v>
      </c>
      <c r="J31" s="35">
        <v>95</v>
      </c>
      <c r="K31" s="35">
        <v>133</v>
      </c>
      <c r="L31" s="35">
        <f>149+97</f>
        <v>246</v>
      </c>
      <c r="M31" s="41">
        <f>178+90</f>
        <v>268</v>
      </c>
      <c r="N31" s="41">
        <f>247+218</f>
        <v>465</v>
      </c>
      <c r="O31" s="41">
        <f>390+219</f>
        <v>609</v>
      </c>
      <c r="P31" s="41">
        <f>544+589</f>
        <v>1133</v>
      </c>
      <c r="Q31" s="41">
        <f>384+247</f>
        <v>631</v>
      </c>
      <c r="R31" s="42">
        <f>181+223</f>
        <v>404</v>
      </c>
    </row>
    <row r="32" spans="1:18" s="12" customFormat="1" ht="19.2" customHeight="1" x14ac:dyDescent="0.15">
      <c r="A32" s="99"/>
      <c r="B32" s="112"/>
      <c r="C32" s="96" t="s">
        <v>11</v>
      </c>
      <c r="D32" s="97"/>
      <c r="E32" s="61">
        <f t="shared" si="6"/>
        <v>7100</v>
      </c>
      <c r="F32" s="52" t="s">
        <v>37</v>
      </c>
      <c r="G32" s="53" t="s">
        <v>37</v>
      </c>
      <c r="H32" s="54" t="s">
        <v>37</v>
      </c>
      <c r="I32" s="53" t="s">
        <v>37</v>
      </c>
      <c r="J32" s="53">
        <f>J30+J31</f>
        <v>207</v>
      </c>
      <c r="K32" s="53">
        <f t="shared" ref="K32:R32" si="8">K30+K31</f>
        <v>227</v>
      </c>
      <c r="L32" s="53">
        <f t="shared" si="8"/>
        <v>628</v>
      </c>
      <c r="M32" s="53">
        <f t="shared" si="8"/>
        <v>497</v>
      </c>
      <c r="N32" s="53">
        <f t="shared" si="8"/>
        <v>927</v>
      </c>
      <c r="O32" s="53">
        <f t="shared" si="8"/>
        <v>1109</v>
      </c>
      <c r="P32" s="53">
        <f t="shared" si="8"/>
        <v>1913</v>
      </c>
      <c r="Q32" s="53">
        <f t="shared" si="8"/>
        <v>941</v>
      </c>
      <c r="R32" s="53">
        <f t="shared" si="8"/>
        <v>651</v>
      </c>
    </row>
    <row r="33" spans="1:18" s="12" customFormat="1" ht="19.2" customHeight="1" x14ac:dyDescent="0.15">
      <c r="A33" s="80" t="s">
        <v>5</v>
      </c>
      <c r="B33" s="107" t="s">
        <v>1</v>
      </c>
      <c r="C33" s="84"/>
      <c r="D33" s="108"/>
      <c r="E33" s="61">
        <f>SUM(E39,E36)</f>
        <v>23048</v>
      </c>
      <c r="F33" s="62" t="s">
        <v>37</v>
      </c>
      <c r="G33" s="63" t="s">
        <v>37</v>
      </c>
      <c r="H33" s="64" t="s">
        <v>37</v>
      </c>
      <c r="I33" s="63" t="s">
        <v>37</v>
      </c>
      <c r="J33" s="63">
        <f>SUM(J36,J39)</f>
        <v>1830</v>
      </c>
      <c r="K33" s="63">
        <f t="shared" ref="K33:R33" si="9">SUM(K36,K39)</f>
        <v>1048</v>
      </c>
      <c r="L33" s="63">
        <f t="shared" si="9"/>
        <v>1710</v>
      </c>
      <c r="M33" s="63">
        <f t="shared" si="9"/>
        <v>1109</v>
      </c>
      <c r="N33" s="63">
        <f t="shared" si="9"/>
        <v>2656</v>
      </c>
      <c r="O33" s="63">
        <f t="shared" si="9"/>
        <v>3584</v>
      </c>
      <c r="P33" s="63">
        <f t="shared" si="9"/>
        <v>5156</v>
      </c>
      <c r="Q33" s="63">
        <f>SUM(Q36,Q39)</f>
        <v>3593</v>
      </c>
      <c r="R33" s="68">
        <f t="shared" si="9"/>
        <v>2362</v>
      </c>
    </row>
    <row r="34" spans="1:18" s="12" customFormat="1" ht="19.2" customHeight="1" x14ac:dyDescent="0.15">
      <c r="A34" s="98"/>
      <c r="B34" s="86" t="s">
        <v>7</v>
      </c>
      <c r="C34" s="109" t="s">
        <v>9</v>
      </c>
      <c r="D34" s="110"/>
      <c r="E34" s="69">
        <f>SUM(J34:R34)</f>
        <v>2428</v>
      </c>
      <c r="F34" s="57" t="s">
        <v>37</v>
      </c>
      <c r="G34" s="58" t="s">
        <v>37</v>
      </c>
      <c r="H34" s="59" t="s">
        <v>37</v>
      </c>
      <c r="I34" s="58" t="s">
        <v>37</v>
      </c>
      <c r="J34" s="58">
        <f>165+101</f>
        <v>266</v>
      </c>
      <c r="K34" s="58">
        <f>29+96</f>
        <v>125</v>
      </c>
      <c r="L34" s="58">
        <f>117+89</f>
        <v>206</v>
      </c>
      <c r="M34" s="66">
        <f>23+78</f>
        <v>101</v>
      </c>
      <c r="N34" s="66">
        <f>174+164</f>
        <v>338</v>
      </c>
      <c r="O34" s="66">
        <f>77+401</f>
        <v>478</v>
      </c>
      <c r="P34" s="66">
        <f>87+366</f>
        <v>453</v>
      </c>
      <c r="Q34" s="66">
        <f>66+217</f>
        <v>283</v>
      </c>
      <c r="R34" s="60">
        <f>57+121</f>
        <v>178</v>
      </c>
    </row>
    <row r="35" spans="1:18" s="12" customFormat="1" ht="19.2" customHeight="1" x14ac:dyDescent="0.15">
      <c r="A35" s="98"/>
      <c r="B35" s="88"/>
      <c r="C35" s="94" t="s">
        <v>10</v>
      </c>
      <c r="D35" s="95"/>
      <c r="E35" s="70">
        <f>SUM(J35:R35)</f>
        <v>5640</v>
      </c>
      <c r="F35" s="39" t="s">
        <v>37</v>
      </c>
      <c r="G35" s="35" t="s">
        <v>37</v>
      </c>
      <c r="H35" s="40" t="s">
        <v>37</v>
      </c>
      <c r="I35" s="35" t="s">
        <v>37</v>
      </c>
      <c r="J35" s="71">
        <f>136+78</f>
        <v>214</v>
      </c>
      <c r="K35" s="35">
        <f>55+101</f>
        <v>156</v>
      </c>
      <c r="L35" s="35">
        <f>187+91</f>
        <v>278</v>
      </c>
      <c r="M35" s="35">
        <f>69+103</f>
        <v>172</v>
      </c>
      <c r="N35" s="41">
        <f>308+158</f>
        <v>466</v>
      </c>
      <c r="O35" s="41">
        <f>362+437</f>
        <v>799</v>
      </c>
      <c r="P35" s="41">
        <f>718+821</f>
        <v>1539</v>
      </c>
      <c r="Q35" s="41">
        <f>660+529</f>
        <v>1189</v>
      </c>
      <c r="R35" s="42">
        <f>538+289</f>
        <v>827</v>
      </c>
    </row>
    <row r="36" spans="1:18" s="12" customFormat="1" ht="19.2" customHeight="1" x14ac:dyDescent="0.15">
      <c r="A36" s="98"/>
      <c r="B36" s="89"/>
      <c r="C36" s="96" t="s">
        <v>11</v>
      </c>
      <c r="D36" s="97"/>
      <c r="E36" s="72">
        <f>SUM(E34:E35)</f>
        <v>8068</v>
      </c>
      <c r="F36" s="52" t="s">
        <v>37</v>
      </c>
      <c r="G36" s="53" t="s">
        <v>37</v>
      </c>
      <c r="H36" s="54" t="s">
        <v>37</v>
      </c>
      <c r="I36" s="53" t="s">
        <v>37</v>
      </c>
      <c r="J36" s="53">
        <f>SUM(J34:J35)</f>
        <v>480</v>
      </c>
      <c r="K36" s="53">
        <f t="shared" ref="K36:R36" si="10">SUM(K34:K35)</f>
        <v>281</v>
      </c>
      <c r="L36" s="53">
        <f t="shared" si="10"/>
        <v>484</v>
      </c>
      <c r="M36" s="53">
        <f t="shared" si="10"/>
        <v>273</v>
      </c>
      <c r="N36" s="53">
        <f t="shared" si="10"/>
        <v>804</v>
      </c>
      <c r="O36" s="53">
        <f t="shared" si="10"/>
        <v>1277</v>
      </c>
      <c r="P36" s="53">
        <f t="shared" si="10"/>
        <v>1992</v>
      </c>
      <c r="Q36" s="53">
        <f t="shared" si="10"/>
        <v>1472</v>
      </c>
      <c r="R36" s="55">
        <f t="shared" si="10"/>
        <v>1005</v>
      </c>
    </row>
    <row r="37" spans="1:18" s="12" customFormat="1" ht="19.2" customHeight="1" x14ac:dyDescent="0.15">
      <c r="A37" s="98"/>
      <c r="B37" s="111" t="s">
        <v>8</v>
      </c>
      <c r="C37" s="109" t="s">
        <v>9</v>
      </c>
      <c r="D37" s="110"/>
      <c r="E37" s="73">
        <f>SUM(J37:R37)</f>
        <v>4368</v>
      </c>
      <c r="F37" s="32" t="s">
        <v>37</v>
      </c>
      <c r="G37" s="33" t="s">
        <v>37</v>
      </c>
      <c r="H37" s="34" t="s">
        <v>37</v>
      </c>
      <c r="I37" s="33" t="s">
        <v>37</v>
      </c>
      <c r="J37" s="33">
        <f>461+257</f>
        <v>718</v>
      </c>
      <c r="K37" s="33">
        <f>85+252</f>
        <v>337</v>
      </c>
      <c r="L37" s="33">
        <f>303+202</f>
        <v>505</v>
      </c>
      <c r="M37" s="36">
        <f>82+194</f>
        <v>276</v>
      </c>
      <c r="N37" s="36">
        <f>252+325</f>
        <v>577</v>
      </c>
      <c r="O37" s="36">
        <f>107+517</f>
        <v>624</v>
      </c>
      <c r="P37" s="36">
        <f>139+504</f>
        <v>643</v>
      </c>
      <c r="Q37" s="36">
        <f>95+288</f>
        <v>383</v>
      </c>
      <c r="R37" s="37">
        <f>89+216</f>
        <v>305</v>
      </c>
    </row>
    <row r="38" spans="1:18" s="12" customFormat="1" ht="19.2" customHeight="1" x14ac:dyDescent="0.15">
      <c r="A38" s="98"/>
      <c r="B38" s="111"/>
      <c r="C38" s="94" t="s">
        <v>10</v>
      </c>
      <c r="D38" s="95"/>
      <c r="E38" s="70">
        <f>SUM(J38:R38)</f>
        <v>10612</v>
      </c>
      <c r="F38" s="39" t="s">
        <v>37</v>
      </c>
      <c r="G38" s="35" t="s">
        <v>37</v>
      </c>
      <c r="H38" s="40" t="s">
        <v>37</v>
      </c>
      <c r="I38" s="35" t="s">
        <v>37</v>
      </c>
      <c r="J38" s="35">
        <f>455+177</f>
        <v>632</v>
      </c>
      <c r="K38" s="35">
        <f>207+223</f>
        <v>430</v>
      </c>
      <c r="L38" s="35">
        <f>454+267</f>
        <v>721</v>
      </c>
      <c r="M38" s="41">
        <f>266+294</f>
        <v>560</v>
      </c>
      <c r="N38" s="41">
        <f>723+552</f>
        <v>1275</v>
      </c>
      <c r="O38" s="41">
        <f>754+929</f>
        <v>1683</v>
      </c>
      <c r="P38" s="41">
        <f>1158+1363</f>
        <v>2521</v>
      </c>
      <c r="Q38" s="41">
        <f>872+866</f>
        <v>1738</v>
      </c>
      <c r="R38" s="42">
        <f>648+404</f>
        <v>1052</v>
      </c>
    </row>
    <row r="39" spans="1:18" s="12" customFormat="1" ht="19.2" customHeight="1" x14ac:dyDescent="0.15">
      <c r="A39" s="99"/>
      <c r="B39" s="112"/>
      <c r="C39" s="96" t="s">
        <v>11</v>
      </c>
      <c r="D39" s="97"/>
      <c r="E39" s="72">
        <f>SUM(E37:E38)</f>
        <v>14980</v>
      </c>
      <c r="F39" s="52" t="s">
        <v>37</v>
      </c>
      <c r="G39" s="53" t="s">
        <v>37</v>
      </c>
      <c r="H39" s="54" t="s">
        <v>37</v>
      </c>
      <c r="I39" s="53" t="s">
        <v>37</v>
      </c>
      <c r="J39" s="53">
        <f>SUM(J37:J38)</f>
        <v>1350</v>
      </c>
      <c r="K39" s="53">
        <f t="shared" ref="K39:R39" si="11">SUM(K37:K38)</f>
        <v>767</v>
      </c>
      <c r="L39" s="53">
        <f t="shared" si="11"/>
        <v>1226</v>
      </c>
      <c r="M39" s="74">
        <f t="shared" si="11"/>
        <v>836</v>
      </c>
      <c r="N39" s="74">
        <f t="shared" si="11"/>
        <v>1852</v>
      </c>
      <c r="O39" s="74">
        <f t="shared" si="11"/>
        <v>2307</v>
      </c>
      <c r="P39" s="74">
        <f t="shared" si="11"/>
        <v>3164</v>
      </c>
      <c r="Q39" s="74">
        <f t="shared" si="11"/>
        <v>2121</v>
      </c>
      <c r="R39" s="55">
        <f t="shared" si="11"/>
        <v>1357</v>
      </c>
    </row>
    <row r="40" spans="1:18" s="12" customFormat="1" ht="19.2" customHeight="1" x14ac:dyDescent="0.15">
      <c r="A40" s="80" t="s">
        <v>6</v>
      </c>
      <c r="B40" s="83" t="s">
        <v>1</v>
      </c>
      <c r="C40" s="84"/>
      <c r="D40" s="85"/>
      <c r="E40" s="56">
        <f>SUM(E43,E46)</f>
        <v>14946</v>
      </c>
      <c r="F40" s="62" t="s">
        <v>37</v>
      </c>
      <c r="G40" s="63" t="s">
        <v>37</v>
      </c>
      <c r="H40" s="64" t="s">
        <v>37</v>
      </c>
      <c r="I40" s="63" t="s">
        <v>37</v>
      </c>
      <c r="J40" s="75">
        <f>SUM(J43,J46)</f>
        <v>3113</v>
      </c>
      <c r="K40" s="75">
        <f t="shared" ref="K40:R40" si="12">SUM(K43,K46)</f>
        <v>1886</v>
      </c>
      <c r="L40" s="75">
        <f t="shared" si="12"/>
        <v>2645</v>
      </c>
      <c r="M40" s="75">
        <f t="shared" si="12"/>
        <v>1905</v>
      </c>
      <c r="N40" s="75">
        <f t="shared" si="12"/>
        <v>1578</v>
      </c>
      <c r="O40" s="75">
        <f t="shared" si="12"/>
        <v>1211</v>
      </c>
      <c r="P40" s="75">
        <f t="shared" si="12"/>
        <v>1753</v>
      </c>
      <c r="Q40" s="75">
        <f t="shared" si="12"/>
        <v>572</v>
      </c>
      <c r="R40" s="76">
        <f t="shared" si="12"/>
        <v>283</v>
      </c>
    </row>
    <row r="41" spans="1:18" s="12" customFormat="1" ht="19.2" customHeight="1" x14ac:dyDescent="0.15">
      <c r="A41" s="98"/>
      <c r="B41" s="105" t="s">
        <v>13</v>
      </c>
      <c r="C41" s="106"/>
      <c r="D41" s="17" t="s">
        <v>9</v>
      </c>
      <c r="E41" s="77">
        <f>SUM(J41:R41)</f>
        <v>314</v>
      </c>
      <c r="F41" s="57" t="s">
        <v>37</v>
      </c>
      <c r="G41" s="58" t="s">
        <v>37</v>
      </c>
      <c r="H41" s="59" t="s">
        <v>37</v>
      </c>
      <c r="I41" s="58" t="s">
        <v>37</v>
      </c>
      <c r="J41" s="58">
        <v>53</v>
      </c>
      <c r="K41" s="58">
        <v>17</v>
      </c>
      <c r="L41" s="58">
        <v>33</v>
      </c>
      <c r="M41" s="66">
        <v>25</v>
      </c>
      <c r="N41" s="66">
        <v>43</v>
      </c>
      <c r="O41" s="66">
        <v>41</v>
      </c>
      <c r="P41" s="66">
        <v>59</v>
      </c>
      <c r="Q41" s="66">
        <v>27</v>
      </c>
      <c r="R41" s="60">
        <v>16</v>
      </c>
    </row>
    <row r="42" spans="1:18" s="12" customFormat="1" ht="19.2" customHeight="1" x14ac:dyDescent="0.15">
      <c r="A42" s="98"/>
      <c r="B42" s="102"/>
      <c r="C42" s="101"/>
      <c r="D42" s="18" t="s">
        <v>10</v>
      </c>
      <c r="E42" s="50">
        <f>SUM(J42:R42)</f>
        <v>806</v>
      </c>
      <c r="F42" s="39" t="s">
        <v>37</v>
      </c>
      <c r="G42" s="35" t="s">
        <v>37</v>
      </c>
      <c r="H42" s="40" t="s">
        <v>37</v>
      </c>
      <c r="I42" s="35" t="s">
        <v>37</v>
      </c>
      <c r="J42" s="35">
        <v>26</v>
      </c>
      <c r="K42" s="35">
        <v>25</v>
      </c>
      <c r="L42" s="35">
        <v>46</v>
      </c>
      <c r="M42" s="35">
        <v>43</v>
      </c>
      <c r="N42" s="41">
        <v>90</v>
      </c>
      <c r="O42" s="41">
        <v>100</v>
      </c>
      <c r="P42" s="41">
        <v>279</v>
      </c>
      <c r="Q42" s="41">
        <v>127</v>
      </c>
      <c r="R42" s="42">
        <v>70</v>
      </c>
    </row>
    <row r="43" spans="1:18" s="12" customFormat="1" ht="19.2" customHeight="1" x14ac:dyDescent="0.15">
      <c r="A43" s="98"/>
      <c r="B43" s="103"/>
      <c r="C43" s="104"/>
      <c r="D43" s="19" t="s">
        <v>11</v>
      </c>
      <c r="E43" s="56">
        <f>SUM(E41:E42)</f>
        <v>1120</v>
      </c>
      <c r="F43" s="52" t="s">
        <v>37</v>
      </c>
      <c r="G43" s="53" t="s">
        <v>37</v>
      </c>
      <c r="H43" s="54" t="s">
        <v>37</v>
      </c>
      <c r="I43" s="53" t="s">
        <v>37</v>
      </c>
      <c r="J43" s="53">
        <f>SUM(J41:J42)</f>
        <v>79</v>
      </c>
      <c r="K43" s="53">
        <f t="shared" ref="K43:R43" si="13">SUM(K41:K42)</f>
        <v>42</v>
      </c>
      <c r="L43" s="53">
        <f t="shared" si="13"/>
        <v>79</v>
      </c>
      <c r="M43" s="53">
        <f t="shared" si="13"/>
        <v>68</v>
      </c>
      <c r="N43" s="53">
        <f t="shared" si="13"/>
        <v>133</v>
      </c>
      <c r="O43" s="53">
        <f t="shared" si="13"/>
        <v>141</v>
      </c>
      <c r="P43" s="53">
        <f t="shared" si="13"/>
        <v>338</v>
      </c>
      <c r="Q43" s="53">
        <f t="shared" si="13"/>
        <v>154</v>
      </c>
      <c r="R43" s="55">
        <f t="shared" si="13"/>
        <v>86</v>
      </c>
    </row>
    <row r="44" spans="1:18" s="12" customFormat="1" ht="19.2" customHeight="1" x14ac:dyDescent="0.15">
      <c r="A44" s="98"/>
      <c r="B44" s="100" t="s">
        <v>14</v>
      </c>
      <c r="C44" s="101"/>
      <c r="D44" s="20" t="s">
        <v>9</v>
      </c>
      <c r="E44" s="77">
        <f>SUM(J44:R44)</f>
        <v>6588</v>
      </c>
      <c r="F44" s="39" t="s">
        <v>37</v>
      </c>
      <c r="G44" s="35" t="s">
        <v>37</v>
      </c>
      <c r="H44" s="40" t="s">
        <v>37</v>
      </c>
      <c r="I44" s="35" t="s">
        <v>37</v>
      </c>
      <c r="J44" s="35">
        <v>1898</v>
      </c>
      <c r="K44" s="35">
        <v>776</v>
      </c>
      <c r="L44" s="35">
        <v>1275</v>
      </c>
      <c r="M44" s="41">
        <v>649</v>
      </c>
      <c r="N44" s="41">
        <v>589</v>
      </c>
      <c r="O44" s="41">
        <v>549</v>
      </c>
      <c r="P44" s="41">
        <v>603</v>
      </c>
      <c r="Q44" s="41">
        <v>160</v>
      </c>
      <c r="R44" s="42">
        <v>89</v>
      </c>
    </row>
    <row r="45" spans="1:18" s="12" customFormat="1" ht="19.2" customHeight="1" x14ac:dyDescent="0.15">
      <c r="A45" s="98"/>
      <c r="B45" s="102"/>
      <c r="C45" s="101"/>
      <c r="D45" s="21" t="s">
        <v>10</v>
      </c>
      <c r="E45" s="50">
        <f>SUM(J45:R45)</f>
        <v>7238</v>
      </c>
      <c r="F45" s="39" t="s">
        <v>37</v>
      </c>
      <c r="G45" s="35" t="s">
        <v>37</v>
      </c>
      <c r="H45" s="40" t="s">
        <v>37</v>
      </c>
      <c r="I45" s="35" t="s">
        <v>37</v>
      </c>
      <c r="J45" s="35">
        <v>1136</v>
      </c>
      <c r="K45" s="35">
        <v>1068</v>
      </c>
      <c r="L45" s="35">
        <v>1291</v>
      </c>
      <c r="M45" s="41">
        <v>1188</v>
      </c>
      <c r="N45" s="41">
        <v>856</v>
      </c>
      <c r="O45" s="41">
        <v>521</v>
      </c>
      <c r="P45" s="41">
        <v>812</v>
      </c>
      <c r="Q45" s="41">
        <v>258</v>
      </c>
      <c r="R45" s="42">
        <v>108</v>
      </c>
    </row>
    <row r="46" spans="1:18" s="12" customFormat="1" ht="19.2" customHeight="1" x14ac:dyDescent="0.15">
      <c r="A46" s="99"/>
      <c r="B46" s="103"/>
      <c r="C46" s="104"/>
      <c r="D46" s="22" t="s">
        <v>11</v>
      </c>
      <c r="E46" s="56">
        <f>SUM(E44:E45)</f>
        <v>13826</v>
      </c>
      <c r="F46" s="52" t="s">
        <v>37</v>
      </c>
      <c r="G46" s="53" t="s">
        <v>37</v>
      </c>
      <c r="H46" s="54" t="s">
        <v>37</v>
      </c>
      <c r="I46" s="53" t="s">
        <v>37</v>
      </c>
      <c r="J46" s="53">
        <f>SUM(J44:J45)</f>
        <v>3034</v>
      </c>
      <c r="K46" s="53">
        <f t="shared" ref="K46:R46" si="14">SUM(K44:K45)</f>
        <v>1844</v>
      </c>
      <c r="L46" s="53">
        <f t="shared" si="14"/>
        <v>2566</v>
      </c>
      <c r="M46" s="74">
        <f t="shared" si="14"/>
        <v>1837</v>
      </c>
      <c r="N46" s="74">
        <f t="shared" si="14"/>
        <v>1445</v>
      </c>
      <c r="O46" s="74">
        <f t="shared" si="14"/>
        <v>1070</v>
      </c>
      <c r="P46" s="74">
        <f t="shared" si="14"/>
        <v>1415</v>
      </c>
      <c r="Q46" s="74">
        <f t="shared" si="14"/>
        <v>418</v>
      </c>
      <c r="R46" s="55">
        <f t="shared" si="14"/>
        <v>197</v>
      </c>
    </row>
    <row r="47" spans="1:18" s="12" customFormat="1" ht="19.2" customHeight="1" x14ac:dyDescent="0.15">
      <c r="A47" s="80" t="s">
        <v>32</v>
      </c>
      <c r="B47" s="83" t="s">
        <v>1</v>
      </c>
      <c r="C47" s="84"/>
      <c r="D47" s="85"/>
      <c r="E47" s="61">
        <f>SUM(E50,E53)</f>
        <v>27449</v>
      </c>
      <c r="F47" s="62">
        <f>SUM(F50,F53)</f>
        <v>1790</v>
      </c>
      <c r="G47" s="63">
        <f t="shared" ref="G47:R47" si="15">SUM(G50,G53)</f>
        <v>2134</v>
      </c>
      <c r="H47" s="63">
        <f t="shared" si="15"/>
        <v>3977</v>
      </c>
      <c r="I47" s="63">
        <f t="shared" si="15"/>
        <v>2749</v>
      </c>
      <c r="J47" s="63">
        <f t="shared" si="15"/>
        <v>3441</v>
      </c>
      <c r="K47" s="63">
        <f t="shared" si="15"/>
        <v>2414</v>
      </c>
      <c r="L47" s="63">
        <f t="shared" si="15"/>
        <v>3198</v>
      </c>
      <c r="M47" s="63">
        <f t="shared" si="15"/>
        <v>2082</v>
      </c>
      <c r="N47" s="63">
        <f>SUM(N50,N53)</f>
        <v>1812</v>
      </c>
      <c r="O47" s="63">
        <f t="shared" si="15"/>
        <v>1224</v>
      </c>
      <c r="P47" s="63">
        <f t="shared" si="15"/>
        <v>1717</v>
      </c>
      <c r="Q47" s="63">
        <f t="shared" si="15"/>
        <v>583</v>
      </c>
      <c r="R47" s="68">
        <f t="shared" si="15"/>
        <v>328</v>
      </c>
    </row>
    <row r="48" spans="1:18" s="12" customFormat="1" ht="19.2" customHeight="1" x14ac:dyDescent="0.15">
      <c r="A48" s="81"/>
      <c r="B48" s="86" t="s">
        <v>12</v>
      </c>
      <c r="C48" s="90" t="s">
        <v>13</v>
      </c>
      <c r="D48" s="17" t="s">
        <v>9</v>
      </c>
      <c r="E48" s="69">
        <f>SUM(F48:R48)</f>
        <v>256</v>
      </c>
      <c r="F48" s="57">
        <v>0</v>
      </c>
      <c r="G48" s="58">
        <v>0</v>
      </c>
      <c r="H48" s="59">
        <v>1</v>
      </c>
      <c r="I48" s="58">
        <v>0</v>
      </c>
      <c r="J48" s="59">
        <v>30</v>
      </c>
      <c r="K48" s="58">
        <v>15</v>
      </c>
      <c r="L48" s="58">
        <v>24</v>
      </c>
      <c r="M48" s="78">
        <v>22</v>
      </c>
      <c r="N48" s="58">
        <v>33</v>
      </c>
      <c r="O48" s="58">
        <v>41</v>
      </c>
      <c r="P48" s="58">
        <v>50</v>
      </c>
      <c r="Q48" s="58">
        <v>29</v>
      </c>
      <c r="R48" s="60">
        <v>11</v>
      </c>
    </row>
    <row r="49" spans="1:18" s="12" customFormat="1" ht="19.2" customHeight="1" x14ac:dyDescent="0.15">
      <c r="A49" s="81"/>
      <c r="B49" s="87"/>
      <c r="C49" s="91"/>
      <c r="D49" s="21" t="s">
        <v>10</v>
      </c>
      <c r="E49" s="67">
        <f>SUM(F49:R49)</f>
        <v>646</v>
      </c>
      <c r="F49" s="39">
        <v>0</v>
      </c>
      <c r="G49" s="35">
        <v>1</v>
      </c>
      <c r="H49" s="40">
        <v>1</v>
      </c>
      <c r="I49" s="35">
        <v>2</v>
      </c>
      <c r="J49" s="35">
        <v>20</v>
      </c>
      <c r="K49" s="35">
        <v>17</v>
      </c>
      <c r="L49" s="35">
        <v>33</v>
      </c>
      <c r="M49" s="41">
        <v>38</v>
      </c>
      <c r="N49" s="41">
        <v>84</v>
      </c>
      <c r="O49" s="41">
        <v>85</v>
      </c>
      <c r="P49" s="41">
        <v>217</v>
      </c>
      <c r="Q49" s="41">
        <v>92</v>
      </c>
      <c r="R49" s="42">
        <v>56</v>
      </c>
    </row>
    <row r="50" spans="1:18" s="12" customFormat="1" ht="19.2" customHeight="1" x14ac:dyDescent="0.15">
      <c r="A50" s="81"/>
      <c r="B50" s="88"/>
      <c r="C50" s="92"/>
      <c r="D50" s="22" t="s">
        <v>11</v>
      </c>
      <c r="E50" s="61">
        <f>SUM(E48:E49)</f>
        <v>902</v>
      </c>
      <c r="F50" s="52">
        <f>SUM(F48:F49)</f>
        <v>0</v>
      </c>
      <c r="G50" s="53">
        <f t="shared" ref="G50:R50" si="16">SUM(G48:G49)</f>
        <v>1</v>
      </c>
      <c r="H50" s="54">
        <f t="shared" si="16"/>
        <v>2</v>
      </c>
      <c r="I50" s="53">
        <f t="shared" si="16"/>
        <v>2</v>
      </c>
      <c r="J50" s="53">
        <f t="shared" si="16"/>
        <v>50</v>
      </c>
      <c r="K50" s="53">
        <f t="shared" si="16"/>
        <v>32</v>
      </c>
      <c r="L50" s="53">
        <f t="shared" si="16"/>
        <v>57</v>
      </c>
      <c r="M50" s="53">
        <f t="shared" si="16"/>
        <v>60</v>
      </c>
      <c r="N50" s="74">
        <f t="shared" si="16"/>
        <v>117</v>
      </c>
      <c r="O50" s="74">
        <f t="shared" si="16"/>
        <v>126</v>
      </c>
      <c r="P50" s="74">
        <f t="shared" si="16"/>
        <v>267</v>
      </c>
      <c r="Q50" s="74">
        <f t="shared" si="16"/>
        <v>121</v>
      </c>
      <c r="R50" s="55">
        <f t="shared" si="16"/>
        <v>67</v>
      </c>
    </row>
    <row r="51" spans="1:18" s="12" customFormat="1" ht="19.2" customHeight="1" x14ac:dyDescent="0.15">
      <c r="A51" s="81"/>
      <c r="B51" s="88"/>
      <c r="C51" s="90" t="s">
        <v>14</v>
      </c>
      <c r="D51" s="23" t="s">
        <v>9</v>
      </c>
      <c r="E51" s="69">
        <f>SUM(F51:R51)</f>
        <v>14348</v>
      </c>
      <c r="F51" s="32">
        <v>1361</v>
      </c>
      <c r="G51" s="33">
        <v>1504</v>
      </c>
      <c r="H51" s="34">
        <v>2646</v>
      </c>
      <c r="I51" s="33">
        <v>1517</v>
      </c>
      <c r="J51" s="33">
        <v>1908</v>
      </c>
      <c r="K51" s="33">
        <v>980</v>
      </c>
      <c r="L51" s="33">
        <v>1471</v>
      </c>
      <c r="M51" s="33">
        <v>719</v>
      </c>
      <c r="N51" s="36">
        <v>725</v>
      </c>
      <c r="O51" s="36">
        <v>563</v>
      </c>
      <c r="P51" s="36">
        <v>615</v>
      </c>
      <c r="Q51" s="36">
        <v>197</v>
      </c>
      <c r="R51" s="37">
        <v>142</v>
      </c>
    </row>
    <row r="52" spans="1:18" s="12" customFormat="1" ht="19.2" customHeight="1" x14ac:dyDescent="0.15">
      <c r="A52" s="81"/>
      <c r="B52" s="88"/>
      <c r="C52" s="91"/>
      <c r="D52" s="21" t="s">
        <v>10</v>
      </c>
      <c r="E52" s="67">
        <f>SUM(F52:R52)</f>
        <v>12199</v>
      </c>
      <c r="F52" s="39">
        <v>429</v>
      </c>
      <c r="G52" s="35">
        <v>629</v>
      </c>
      <c r="H52" s="40">
        <v>1329</v>
      </c>
      <c r="I52" s="35">
        <v>1230</v>
      </c>
      <c r="J52" s="35">
        <v>1483</v>
      </c>
      <c r="K52" s="35">
        <v>1402</v>
      </c>
      <c r="L52" s="35">
        <v>1670</v>
      </c>
      <c r="M52" s="35">
        <v>1303</v>
      </c>
      <c r="N52" s="41">
        <v>970</v>
      </c>
      <c r="O52" s="41">
        <v>535</v>
      </c>
      <c r="P52" s="41">
        <v>835</v>
      </c>
      <c r="Q52" s="41">
        <v>265</v>
      </c>
      <c r="R52" s="42">
        <v>119</v>
      </c>
    </row>
    <row r="53" spans="1:18" s="12" customFormat="1" ht="19.2" customHeight="1" x14ac:dyDescent="0.15">
      <c r="A53" s="82"/>
      <c r="B53" s="89"/>
      <c r="C53" s="93"/>
      <c r="D53" s="22" t="s">
        <v>11</v>
      </c>
      <c r="E53" s="61">
        <f>SUM(E51:E52)</f>
        <v>26547</v>
      </c>
      <c r="F53" s="52">
        <f>SUM(F51:F52)</f>
        <v>1790</v>
      </c>
      <c r="G53" s="53">
        <f t="shared" ref="G53:R53" si="17">SUM(G51:G52)</f>
        <v>2133</v>
      </c>
      <c r="H53" s="54">
        <f t="shared" si="17"/>
        <v>3975</v>
      </c>
      <c r="I53" s="53">
        <f t="shared" si="17"/>
        <v>2747</v>
      </c>
      <c r="J53" s="53">
        <f t="shared" si="17"/>
        <v>3391</v>
      </c>
      <c r="K53" s="53">
        <f t="shared" si="17"/>
        <v>2382</v>
      </c>
      <c r="L53" s="53">
        <f t="shared" si="17"/>
        <v>3141</v>
      </c>
      <c r="M53" s="53">
        <f t="shared" si="17"/>
        <v>2022</v>
      </c>
      <c r="N53" s="53">
        <f t="shared" si="17"/>
        <v>1695</v>
      </c>
      <c r="O53" s="53">
        <f t="shared" si="17"/>
        <v>1098</v>
      </c>
      <c r="P53" s="53">
        <f t="shared" si="17"/>
        <v>1450</v>
      </c>
      <c r="Q53" s="53">
        <f t="shared" si="17"/>
        <v>462</v>
      </c>
      <c r="R53" s="55">
        <f t="shared" si="17"/>
        <v>261</v>
      </c>
    </row>
  </sheetData>
  <mergeCells count="41">
    <mergeCell ref="A26:A32"/>
    <mergeCell ref="B30:B32"/>
    <mergeCell ref="E5:R5"/>
    <mergeCell ref="A7:A25"/>
    <mergeCell ref="B7:D7"/>
    <mergeCell ref="B8:B16"/>
    <mergeCell ref="C8:C11"/>
    <mergeCell ref="C25:D25"/>
    <mergeCell ref="C16:D16"/>
    <mergeCell ref="A5:D6"/>
    <mergeCell ref="C12:C15"/>
    <mergeCell ref="B17:B25"/>
    <mergeCell ref="C17:C20"/>
    <mergeCell ref="C21:C24"/>
    <mergeCell ref="C31:D31"/>
    <mergeCell ref="C32:D32"/>
    <mergeCell ref="B26:D26"/>
    <mergeCell ref="C29:D29"/>
    <mergeCell ref="C30:D30"/>
    <mergeCell ref="B27:B29"/>
    <mergeCell ref="C27:D27"/>
    <mergeCell ref="C28:D28"/>
    <mergeCell ref="C38:D38"/>
    <mergeCell ref="C39:D39"/>
    <mergeCell ref="A40:A46"/>
    <mergeCell ref="B44:C46"/>
    <mergeCell ref="B41:C43"/>
    <mergeCell ref="A33:A39"/>
    <mergeCell ref="B33:D33"/>
    <mergeCell ref="B34:B36"/>
    <mergeCell ref="C34:D34"/>
    <mergeCell ref="C35:D35"/>
    <mergeCell ref="B37:B39"/>
    <mergeCell ref="B40:D40"/>
    <mergeCell ref="C36:D36"/>
    <mergeCell ref="C37:D37"/>
    <mergeCell ref="A47:A53"/>
    <mergeCell ref="B47:D47"/>
    <mergeCell ref="B48:B53"/>
    <mergeCell ref="C48:C50"/>
    <mergeCell ref="C51:C53"/>
  </mergeCells>
  <phoneticPr fontId="1"/>
  <printOptions horizontalCentered="1"/>
  <pageMargins left="0.59055118110236227" right="0.59055118110236227" top="0.78740157480314965" bottom="0.78740157480314965" header="0.31496062992125984" footer="0.31496062992125984"/>
  <pageSetup paperSize="9" scale="75" orientation="portrait" horizontalDpi="300" verticalDpi="300" r:id="rId1"/>
  <headerFooter alignWithMargins="0"/>
  <ignoredErrors>
    <ignoredError sqref="E43 E50 E3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a1eafba633277ec00883d4e10cd96e5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96273a645e27db515b242c1154665ce1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TaxCatchAll xmlns="b1759036-c6d1-4f23-8159-9e5ddc0da7b4"/>
    <_x5099__x8003_ xmlns="31AAD03C-A983-4B16-863F-54F1EAB739D9" xsi:nil="true"/>
    <lcf76f155ced4ddcb4097134ff3c332f xmlns="31aad03c-a983-4b16-863f-54f1eab739d9">
      <Terms xmlns="http://schemas.microsoft.com/office/infopath/2007/PartnerControls"/>
    </lcf76f155ced4ddcb4097134ff3c332f>
    <_x8aac__x660e_ xmlns="31AAD03C-A983-4B16-863F-54F1EAB739D9" xsi:nil="true"/>
  </documentManagement>
</p:properties>
</file>

<file path=customXml/itemProps1.xml><?xml version="1.0" encoding="utf-8"?>
<ds:datastoreItem xmlns:ds="http://schemas.openxmlformats.org/officeDocument/2006/customXml" ds:itemID="{232C01C7-0E47-408B-97B1-F6B91688CD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DFBD1B-4CA1-4579-BAA9-22B318976C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506968-99BA-42BF-8C84-F71395FABB90}">
  <ds:schemaRefs>
    <ds:schemaRef ds:uri="http://schemas.microsoft.com/office/2006/documentManagement/types"/>
    <ds:schemaRef ds:uri="31aad03c-a983-4b16-863f-54f1eab739d9"/>
    <ds:schemaRef ds:uri="31AAD03C-A983-4B16-863F-54F1EAB739D9"/>
    <ds:schemaRef ds:uri="http://purl.org/dc/elements/1.1/"/>
    <ds:schemaRef ds:uri="77e41a71-2e1a-40e6-b4fe-2cfc7a738e36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1759036-c6d1-4f23-8159-9e5ddc0da7b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8-1</vt:lpstr>
      <vt:lpstr>'8-1'!Print_Area</vt:lpstr>
      <vt:lpstr>'8-1'!表６・３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古閑　有由美</dc:creator>
  <cp:lastModifiedBy>上村　沙希</cp:lastModifiedBy>
  <cp:lastPrinted>2024-11-01T06:46:31Z</cp:lastPrinted>
  <dcterms:created xsi:type="dcterms:W3CDTF">1997-01-08T22:48:59Z</dcterms:created>
  <dcterms:modified xsi:type="dcterms:W3CDTF">2025-02-21T02:05:09Z</dcterms:modified>
</cp:coreProperties>
</file>